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fo\Documents\Gaïa Green\Rapport de visites\Z - RT2012-Ex\"/>
    </mc:Choice>
  </mc:AlternateContent>
  <xr:revisionPtr revIDLastSave="0" documentId="13_ncr:1_{306D9759-8DBE-4795-B89A-34FC8E32BF14}" xr6:coauthVersionLast="47" xr6:coauthVersionMax="47" xr10:uidLastSave="{00000000-0000-0000-0000-000000000000}"/>
  <workbookProtection workbookAlgorithmName="SHA-512" workbookHashValue="HH+E5/II5D4CwwySXkj3XSB55RFZiGkzW502QnULUUq3B0ie8LT05n9uirt/uLKLPcMP80idWYjiql6xJ3BRGQ==" workbookSaltValue="GAsLWKDrPVK/YqLCR11X3A==" workbookSpinCount="100000" lockStructure="1"/>
  <bookViews>
    <workbookView xWindow="12210" yWindow="0" windowWidth="16590" windowHeight="15600" tabRatio="675" xr2:uid="{00000000-000D-0000-FFFF-FFFF00000000}"/>
  </bookViews>
  <sheets>
    <sheet name="TITREV" sheetId="3" r:id="rId1"/>
    <sheet name="ELEMENTS" sheetId="7" state="hidden" r:id="rId2"/>
    <sheet name="CALCULS Gain" sheetId="5" state="hidden" r:id="rId3"/>
  </sheets>
  <definedNames>
    <definedName name="a">'CALCULS Gain'!$C$9</definedName>
    <definedName name="App_douche">TITREV!$D$19</definedName>
    <definedName name="App_grande">TITREV!$D$22</definedName>
    <definedName name="App_sabot">TITREV!$D$20</definedName>
    <definedName name="App_standard">TITREV!$D$21</definedName>
    <definedName name="Cdéph">'CALCULS Gain'!$C$26</definedName>
    <definedName name="Corr_app">'CALCULS Gain'!$C$14</definedName>
    <definedName name="Corr_em">'CALCULS Gain'!$C$12</definedName>
    <definedName name="Corré">'CALCULS Gain'!$C$29</definedName>
    <definedName name="Csimultanéité">'CALCULS Gain'!$C$27</definedName>
    <definedName name="Ctrans">TITREV!$D$37</definedName>
    <definedName name="Cw">'CALCULS Gain'!$C$3</definedName>
    <definedName name="Ddéph">'CALCULS Gain'!$C$26</definedName>
    <definedName name="Eff_nom">TITREV!$D$39</definedName>
    <definedName name="Eff_recup">'CALCULS Gain'!$C$21</definedName>
    <definedName name="Em_melangeur">TITREV!$D$26</definedName>
    <definedName name="Em_mitigeur">TITREV!$D$27</definedName>
    <definedName name="Em_temporisateur">TITREV!$D$28</definedName>
    <definedName name="Energie">TITREV!$D$43</definedName>
    <definedName name="F_occ">ELEMENTS!$S$13</definedName>
    <definedName name="F_paa">'CALCULS Gain'!$C$23</definedName>
    <definedName name="F_pam">'CALCULS Gain'!$C$24</definedName>
    <definedName name="F_pav">'CALCULS Gain'!$C$25</definedName>
    <definedName name="Fpam_hvc">ELEMENTS!$F$17</definedName>
    <definedName name="Fpam_vc">ELEMENTS!$F$16</definedName>
    <definedName name="Fpav_vc_hvc">ELEMENTS!$F$20</definedName>
    <definedName name="Gain">'CALCULS Gain'!$C$30</definedName>
    <definedName name="gain_app">ELEMENTS!$F$7</definedName>
    <definedName name="gain_em">ELEMENTS!$F$13</definedName>
    <definedName name="Laval">TITREV!$D$32</definedName>
    <definedName name="Lhvc">TITREV!$D$31</definedName>
    <definedName name="Lvc">TITREV!$D$30</definedName>
    <definedName name="N_certif">'CALCULS Gain'!$C$18</definedName>
    <definedName name="Napp_récupérateur">TITREV!$D$24</definedName>
    <definedName name="Nb">TITREV!$D$14</definedName>
    <definedName name="Nu">'CALCULS Gain'!$C$10</definedName>
    <definedName name="P">'CALCULS Gain'!$C$22</definedName>
    <definedName name="Prelevage">'CALCULS Gain'!$C$33</definedName>
    <definedName name="Qrelevage">'CALCULS Gain'!$C$34</definedName>
    <definedName name="Qw_base">'CALCULS Gain'!$C$15</definedName>
    <definedName name="Qw_hebdo">'CALCULS Gain'!$C$11</definedName>
    <definedName name="Qw_hebdo_corrigé">'CALCULS Gain'!$C$13</definedName>
    <definedName name="Rpn">'CALCULS Gain'!$C$28</definedName>
    <definedName name="SHON">TITREV!$D$17</definedName>
    <definedName name="SHON_sre">TITREV!$D$16</definedName>
    <definedName name="statut_Ctrans">TITREV!$D$36</definedName>
    <definedName name="statut_Eff_nom">TITREV!$D$38</definedName>
    <definedName name="SU">TITREV!$D$15</definedName>
    <definedName name="SU_sre">TITREV!$D$16</definedName>
    <definedName name="Tévac">'CALCULS Gain'!#REF!</definedName>
    <definedName name="Usage">TITREV!$D$13</definedName>
    <definedName name="_xlnm.Print_Area" localSheetId="0">TITREV!$B$2:$G$57</definedName>
    <definedName name="zone1">TITREV!$D$9</definedName>
    <definedName name="θef">'CALCULS Gain'!$C$6</definedName>
    <definedName name="θuw">'CALCULS Gain'!$C$5</definedName>
    <definedName name="ρw">'CALCULS Gain'!$C$4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3" l="1"/>
  <c r="G36" i="3"/>
  <c r="C18" i="5"/>
  <c r="C21" i="5" s="1"/>
  <c r="D9" i="3" l="1"/>
  <c r="C26" i="5" l="1"/>
  <c r="C27" i="5"/>
  <c r="F30" i="7" s="1"/>
  <c r="F31" i="7"/>
  <c r="C33" i="5"/>
  <c r="L16" i="7"/>
  <c r="K16" i="7" s="1"/>
  <c r="M16" i="7" s="1"/>
  <c r="G3" i="7"/>
  <c r="C24" i="5"/>
  <c r="L15" i="7"/>
  <c r="K15" i="7" s="1"/>
  <c r="M15" i="7" s="1"/>
  <c r="C9" i="5" s="1"/>
  <c r="G19" i="3"/>
  <c r="L8" i="7"/>
  <c r="M8" i="7" s="1"/>
  <c r="L7" i="7"/>
  <c r="M7" i="7" s="1"/>
  <c r="L11" i="7"/>
  <c r="M11" i="7" s="1"/>
  <c r="L9" i="7"/>
  <c r="M9" i="7" s="1"/>
  <c r="S24" i="7"/>
  <c r="S25" i="7"/>
  <c r="C14" i="3"/>
  <c r="P16" i="7"/>
  <c r="Q16" i="7" s="1"/>
  <c r="R16" i="7" s="1"/>
  <c r="P19" i="7"/>
  <c r="Q19" i="7" s="1"/>
  <c r="P20" i="7"/>
  <c r="P21" i="7"/>
  <c r="Q21" i="7" s="1"/>
  <c r="R21" i="7" s="1"/>
  <c r="P22" i="7"/>
  <c r="Q22" i="7" s="1"/>
  <c r="R22" i="7" s="1"/>
  <c r="P23" i="7"/>
  <c r="Q23" i="7"/>
  <c r="P24" i="7"/>
  <c r="Q24" i="7" s="1"/>
  <c r="R24" i="7" s="1"/>
  <c r="P25" i="7"/>
  <c r="Q25" i="7" s="1"/>
  <c r="R25" i="7" s="1"/>
  <c r="P26" i="7"/>
  <c r="Q26" i="7" s="1"/>
  <c r="P15" i="7"/>
  <c r="Q15" i="7" s="1"/>
  <c r="R15" i="7" s="1"/>
  <c r="K24" i="7"/>
  <c r="K25" i="7"/>
  <c r="S17" i="7"/>
  <c r="S18" i="7"/>
  <c r="S23" i="7"/>
  <c r="S16" i="7"/>
  <c r="S13" i="7"/>
  <c r="S15" i="7"/>
  <c r="G26" i="3"/>
  <c r="L5" i="7"/>
  <c r="M5" i="7" s="1"/>
  <c r="L4" i="7"/>
  <c r="M4" i="7" s="1"/>
  <c r="L3" i="7"/>
  <c r="M3" i="7" s="1"/>
  <c r="C44" i="3"/>
  <c r="C29" i="5"/>
  <c r="E26" i="3"/>
  <c r="C6" i="5"/>
  <c r="G12" i="7"/>
  <c r="G10" i="7"/>
  <c r="G11" i="7"/>
  <c r="G6" i="7"/>
  <c r="G5" i="7"/>
  <c r="G4" i="7"/>
  <c r="K18" i="7"/>
  <c r="K19" i="7"/>
  <c r="K20" i="7"/>
  <c r="K21" i="7"/>
  <c r="K22" i="7"/>
  <c r="K23" i="7"/>
  <c r="K26" i="7"/>
  <c r="K17" i="7"/>
  <c r="C25" i="5"/>
  <c r="O18" i="7"/>
  <c r="P18" i="7"/>
  <c r="Q18" i="7" s="1"/>
  <c r="J20" i="7"/>
  <c r="J21" i="7" s="1"/>
  <c r="J22" i="7" s="1"/>
  <c r="O17" i="7"/>
  <c r="P17" i="7" s="1"/>
  <c r="Q17" i="7" s="1"/>
  <c r="M6" i="7"/>
  <c r="M10" i="7"/>
  <c r="R23" i="7"/>
  <c r="Q20" i="7"/>
  <c r="R20" i="7" s="1"/>
  <c r="R18" i="7" l="1"/>
  <c r="C10" i="5"/>
  <c r="C11" i="5" s="1"/>
  <c r="C28" i="5"/>
  <c r="H37" i="3"/>
  <c r="H39" i="3" s="1"/>
  <c r="R19" i="7"/>
  <c r="R26" i="7"/>
  <c r="R17" i="7"/>
  <c r="C22" i="5" s="1"/>
  <c r="F13" i="7"/>
  <c r="C12" i="5" s="1"/>
  <c r="F7" i="7"/>
  <c r="C14" i="5" s="1"/>
  <c r="C23" i="5"/>
  <c r="C34" i="5" l="1"/>
  <c r="C13" i="5"/>
  <c r="C15" i="5" s="1"/>
  <c r="C30" i="5" s="1"/>
  <c r="D54" i="3" l="1"/>
  <c r="D56" i="3"/>
  <c r="D53" i="3"/>
</calcChain>
</file>

<file path=xl/sharedStrings.xml><?xml version="1.0" encoding="utf-8"?>
<sst xmlns="http://schemas.openxmlformats.org/spreadsheetml/2006/main" count="355" uniqueCount="170">
  <si>
    <t>Tef</t>
  </si>
  <si>
    <t>-</t>
  </si>
  <si>
    <t>°C</t>
  </si>
  <si>
    <t>N_gr,em-e_max</t>
  </si>
  <si>
    <t>Nu_gr,em-e</t>
  </si>
  <si>
    <t>Cw</t>
  </si>
  <si>
    <t>Wh/kg.K</t>
  </si>
  <si>
    <t>ρw</t>
  </si>
  <si>
    <t>kg/l</t>
  </si>
  <si>
    <t>θuw</t>
  </si>
  <si>
    <t>Données de sortie :</t>
  </si>
  <si>
    <t>Source Energie</t>
  </si>
  <si>
    <t>Générateur ECS</t>
  </si>
  <si>
    <t>Réseau</t>
  </si>
  <si>
    <t>Effet joule</t>
  </si>
  <si>
    <t>Bois</t>
  </si>
  <si>
    <t>Usage de la zone</t>
  </si>
  <si>
    <t>Caractéristiques du bâtiment :</t>
  </si>
  <si>
    <t>Situation géographique</t>
  </si>
  <si>
    <t>Données d'entrée</t>
  </si>
  <si>
    <t>Outils d'aide à l'application</t>
  </si>
  <si>
    <t>Département</t>
  </si>
  <si>
    <t>Zones</t>
  </si>
  <si>
    <t>H1c</t>
  </si>
  <si>
    <t>H1a</t>
  </si>
  <si>
    <t>H2d</t>
  </si>
  <si>
    <t>H3</t>
  </si>
  <si>
    <t>H1b</t>
  </si>
  <si>
    <t>H2c</t>
  </si>
  <si>
    <t>H2b</t>
  </si>
  <si>
    <t>2A</t>
  </si>
  <si>
    <t>2B</t>
  </si>
  <si>
    <t>H2a</t>
  </si>
  <si>
    <t>P</t>
  </si>
  <si>
    <t>Gain sur besoin ECS</t>
  </si>
  <si>
    <t>Energie</t>
  </si>
  <si>
    <t>Corr(é)xRpn</t>
  </si>
  <si>
    <t>Ctep</t>
  </si>
  <si>
    <t>Rpn (70°C, charge 100 %, en %)</t>
  </si>
  <si>
    <t>Zone</t>
  </si>
  <si>
    <t>kWhEF/an</t>
  </si>
  <si>
    <t>GAIN</t>
  </si>
  <si>
    <t>%</t>
  </si>
  <si>
    <t>Type d'émetteurs ECS</t>
  </si>
  <si>
    <t>Rpn</t>
  </si>
  <si>
    <t>Saisir 100%</t>
  </si>
  <si>
    <t>Corr_app</t>
  </si>
  <si>
    <t>Corr_em</t>
  </si>
  <si>
    <t>Calcul du Gain</t>
  </si>
  <si>
    <t>Chauffe-eau thermodynamique</t>
  </si>
  <si>
    <t>Données eau froide</t>
  </si>
  <si>
    <t>L</t>
  </si>
  <si>
    <t>Melangeurs, mitigeurs mécaniques et autres</t>
  </si>
  <si>
    <t>Mitigeurs thermostatiques et mitigeurs mécaniques économes</t>
  </si>
  <si>
    <t>Temporisateurs et robinets électroniques</t>
  </si>
  <si>
    <t>Douche(s) seule(s)</t>
  </si>
  <si>
    <t>Baignoire sabot (V&lt;125L)</t>
  </si>
  <si>
    <t>Baignoire standard (125&lt;V&lt;175L)</t>
  </si>
  <si>
    <t>Grande baignoire (V&gt;175L)</t>
  </si>
  <si>
    <t>Nombre de maisons</t>
  </si>
  <si>
    <t>Surface utile totale (m²)</t>
  </si>
  <si>
    <t>COP nominal</t>
  </si>
  <si>
    <t>Pourcentage</t>
  </si>
  <si>
    <t>Nombre de logements</t>
  </si>
  <si>
    <t>Maison(s) individuelle(s)</t>
  </si>
  <si>
    <t>Logements collectifs</t>
  </si>
  <si>
    <t>Pompe à Chaleur</t>
  </si>
  <si>
    <r>
      <rPr>
        <sz val="11"/>
        <color indexed="8"/>
        <rFont val="Calibri"/>
        <family val="2"/>
      </rPr>
      <t>η</t>
    </r>
    <r>
      <rPr>
        <sz val="6.6"/>
        <color indexed="8"/>
        <rFont val="Calibri"/>
        <family val="2"/>
      </rPr>
      <t>générateur</t>
    </r>
  </si>
  <si>
    <t>a_g,em-e</t>
  </si>
  <si>
    <t>Nombre de chambres</t>
  </si>
  <si>
    <t>Nombre de lits</t>
  </si>
  <si>
    <t>m² de surface utile</t>
  </si>
  <si>
    <t>Nombre de douches</t>
  </si>
  <si>
    <t>Nu</t>
  </si>
  <si>
    <t>a</t>
  </si>
  <si>
    <t>Calcul de Qw</t>
  </si>
  <si>
    <t>Qw_base (sans recoh)</t>
  </si>
  <si>
    <t>C_corré</t>
  </si>
  <si>
    <t>θef</t>
  </si>
  <si>
    <t>Fpam</t>
  </si>
  <si>
    <t>Calorifugé</t>
  </si>
  <si>
    <t>En VC</t>
  </si>
  <si>
    <t>Hors VC</t>
  </si>
  <si>
    <t>Interdit</t>
  </si>
  <si>
    <t>Non calo</t>
  </si>
  <si>
    <t>Tout type</t>
  </si>
  <si>
    <t>Corr(é)</t>
  </si>
  <si>
    <t xml:space="preserve">Hôtel 2* </t>
  </si>
  <si>
    <t xml:space="preserve">Hôtel 3* </t>
  </si>
  <si>
    <t xml:space="preserve">Hôtel 4* et 5* </t>
  </si>
  <si>
    <t xml:space="preserve">Hôtel 0* et 1* </t>
  </si>
  <si>
    <t>Etablissement sanitaire avec hébergement</t>
  </si>
  <si>
    <t>Etablissement sportif  scolaire</t>
  </si>
  <si>
    <t>Etablissement sportif municipal ou privé</t>
  </si>
  <si>
    <t>F_paa air ambiant</t>
  </si>
  <si>
    <t>F_pam amont</t>
  </si>
  <si>
    <t>F_pav aval</t>
  </si>
  <si>
    <t>P part ECS</t>
  </si>
  <si>
    <t>Récupérateur</t>
  </si>
  <si>
    <t>Economie générée par le récupérateur</t>
  </si>
  <si>
    <t>TOTAL moyenné</t>
  </si>
  <si>
    <t>Part</t>
  </si>
  <si>
    <t>Appareil le plus défavorable pour le calcul du besoin</t>
  </si>
  <si>
    <t>Moyenne des emetteurs</t>
  </si>
  <si>
    <t>Valeur déclarée</t>
  </si>
  <si>
    <t>Valeur justifiée</t>
  </si>
  <si>
    <t>Valeur certifiée</t>
  </si>
  <si>
    <t>Niveau de certification</t>
  </si>
  <si>
    <t>Mitigeurs thermostatiques ou mécaniques économes</t>
  </si>
  <si>
    <t>Temporisateurs ou robinets électroniques</t>
  </si>
  <si>
    <t>HélioPAC</t>
  </si>
  <si>
    <t>rechercheh</t>
  </si>
  <si>
    <t>Type de bâtiment</t>
  </si>
  <si>
    <t>Qw hebdo</t>
  </si>
  <si>
    <t>Qw hebdo corrigé</t>
  </si>
  <si>
    <t>WhEF/semaine</t>
  </si>
  <si>
    <t>Part (m²)</t>
  </si>
  <si>
    <t>Pgs</t>
  </si>
  <si>
    <t>Gaz condensation  accumulation individuelle</t>
  </si>
  <si>
    <t>Gaz condensation  accumulation collective</t>
  </si>
  <si>
    <t>Gaz condensation instantanée</t>
  </si>
  <si>
    <t>P moyenné</t>
  </si>
  <si>
    <t>En AMONT** du récupérateur et EN volume chauffé</t>
  </si>
  <si>
    <t>** Entre la douche et le récupérateur</t>
  </si>
  <si>
    <t>En AVAL*** du récupérateur</t>
  </si>
  <si>
    <t>*** Eau préchauffée, entre le récupérateur et le ballon et/ou le mitigeur</t>
  </si>
  <si>
    <t>Hébergement - Enseignement secondaire partie nuit</t>
  </si>
  <si>
    <t>Hébergement - Cité universitaire</t>
  </si>
  <si>
    <t>Hébergement - Foyers de jeunes travailleurs</t>
  </si>
  <si>
    <t>Longeurs moyennées des réseaux ECS du bâtiment</t>
  </si>
  <si>
    <t>Occupation [semaines]</t>
  </si>
  <si>
    <t>Valeur par défaut</t>
  </si>
  <si>
    <t>Efficacité nominale du récupérateur Eff_nom en %</t>
  </si>
  <si>
    <t>* Pour les logements équipés de plusieurs types d'appareils connectés au système de récupération d'énergie sur eaux grises : compter le plus défavorable (le plus volumineux)</t>
  </si>
  <si>
    <t>Température de l'eau froide (Fichier météo RT2012)</t>
  </si>
  <si>
    <t>Niveau de certif</t>
  </si>
  <si>
    <t>Niveau de certification du coefficient transitoire</t>
  </si>
  <si>
    <t>Niveau de certification de l'efficacité nominale</t>
  </si>
  <si>
    <t>Cdéph</t>
  </si>
  <si>
    <t>Csimultanéité</t>
  </si>
  <si>
    <t>Calcul de Qrelevage</t>
  </si>
  <si>
    <t>Pompe de relevage</t>
  </si>
  <si>
    <t>Pompe nécessaire au fonctionnement du récupérateur</t>
  </si>
  <si>
    <t>Pas de pompe de relevage</t>
  </si>
  <si>
    <t>Puissance de pompe par défaut</t>
  </si>
  <si>
    <t>Puissance de pompe fabricant</t>
  </si>
  <si>
    <t>Prelevage</t>
  </si>
  <si>
    <t>Puissance de la pompe de relevage (kW) ****</t>
  </si>
  <si>
    <t>kW</t>
  </si>
  <si>
    <t>Qrelevage</t>
  </si>
  <si>
    <t>kWhEP/an</t>
  </si>
  <si>
    <t>**** Utilisé seulement si "Puissance de pompe fabricant" est sélectionné</t>
  </si>
  <si>
    <t>Niveau de Certification</t>
  </si>
  <si>
    <t>Eff_recup</t>
  </si>
  <si>
    <t>Coefficient transitoire Ctrans</t>
  </si>
  <si>
    <t>Nomenclature</t>
  </si>
  <si>
    <t>Cellules dont les valeurs sont  à renseigner</t>
  </si>
  <si>
    <t>Cellule de résultat du Titre V</t>
  </si>
  <si>
    <t>Cellules à ne pas modifier</t>
  </si>
  <si>
    <t>Nombre d'appareils sanitaires connectés au(x) récupérateur(s) de chaleur</t>
  </si>
  <si>
    <t>SRT desservie par le système de récupération
d'énergie sur eaux grises (m²)</t>
  </si>
  <si>
    <t>SRT totale (m²)</t>
  </si>
  <si>
    <t>Fpav</t>
  </si>
  <si>
    <t>SRT desservie* par types d'appareils sanitaires</t>
  </si>
  <si>
    <t>Note : si les cases bleu foncé ne comportent pas de menu déroulant (ouverture au format .xlx ou .ods), faire un copier-coller des champs ci-dessous, ou les recopier à l'identique.</t>
  </si>
  <si>
    <t>Contribution à l'AEPENR</t>
  </si>
  <si>
    <t xml:space="preserve">Arrêté du 2 septembre 2019 relatif à l’agrément des modalités de prise en compte des systèmes de récupération instantanée de chaleur sur eaux grises dans la réglementation thermique 2012 </t>
  </si>
  <si>
    <t xml:space="preserve"> Version 1,1 : Mise en ligne le 30/09/2019</t>
  </si>
  <si>
    <t>En AMONT** du récupérateur et HORS volume chauffé (les conduits doivent alors nécessairement être calorifugés)</t>
  </si>
  <si>
    <t>Numéro de département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</si>
</sst>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€_-;\-* #,##0.00\ _€_-;_-* &quot;-&quot;??\ _€_-;_-@_-"/>
    <numFmt numFmtId="165" formatCode="0.000"/>
    <numFmt numFmtId="166" formatCode="0.00&quot; kWhEP/m²shon.an&quot;"/>
    <numFmt numFmtId="167" formatCode="#,#00&quot; kWhEF&quot;"/>
    <numFmt numFmtId="168" formatCode="0.0%"/>
    <numFmt numFmtId="169" formatCode="0&quot;m&quot;"/>
    <numFmt numFmtId="170" formatCode="0.0"/>
    <numFmt numFmtId="171" formatCode="0&quot; m²&quot;"/>
    <numFmt numFmtId="172" formatCode="0.00&quot; m&quot;"/>
  </numFmts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6.6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6"/>
      <color theme="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9FFE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1835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7" borderId="28" applyNumberFormat="0" applyAlignment="0" applyProtection="0"/>
    <xf numFmtId="0" fontId="24" fillId="0" borderId="30" applyNumberFormat="0" applyFill="0" applyAlignment="0" applyProtection="0"/>
    <xf numFmtId="0" fontId="21" fillId="6" borderId="28" applyNumberFormat="0" applyAlignment="0" applyProtection="0"/>
    <xf numFmtId="0" fontId="19" fillId="4" borderId="0" applyNumberFormat="0" applyBorder="0" applyAlignment="0" applyProtection="0"/>
    <xf numFmtId="164" fontId="13" fillId="0" borderId="0" applyFont="0" applyFill="0" applyBorder="0" applyAlignment="0" applyProtection="0"/>
    <xf numFmtId="0" fontId="20" fillId="5" borderId="0" applyNumberFormat="0" applyBorder="0" applyAlignment="0" applyProtection="0"/>
    <xf numFmtId="0" fontId="2" fillId="0" borderId="0"/>
    <xf numFmtId="0" fontId="1" fillId="0" borderId="0"/>
    <xf numFmtId="0" fontId="30" fillId="0" borderId="0"/>
    <xf numFmtId="0" fontId="3" fillId="0" borderId="0"/>
    <xf numFmtId="0" fontId="13" fillId="9" borderId="32" applyNumberFormat="0" applyFont="0" applyAlignment="0" applyProtection="0"/>
    <xf numFmtId="9" fontId="13" fillId="0" borderId="0" applyFont="0" applyFill="0" applyBorder="0" applyAlignment="0" applyProtection="0"/>
    <xf numFmtId="0" fontId="18" fillId="3" borderId="0" applyNumberFormat="0" applyBorder="0" applyAlignment="0" applyProtection="0"/>
    <xf numFmtId="0" fontId="22" fillId="7" borderId="29" applyNumberFormat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33" applyNumberFormat="0" applyFill="0" applyAlignment="0" applyProtection="0"/>
    <xf numFmtId="0" fontId="25" fillId="8" borderId="31" applyNumberFormat="0" applyAlignment="0" applyProtection="0"/>
  </cellStyleXfs>
  <cellXfs count="216">
    <xf numFmtId="0" fontId="0" fillId="0" borderId="0" xfId="0"/>
    <xf numFmtId="0" fontId="0" fillId="0" borderId="0" xfId="0"/>
    <xf numFmtId="0" fontId="0" fillId="0" borderId="1" xfId="0" applyBorder="1"/>
    <xf numFmtId="0" fontId="3" fillId="0" borderId="1" xfId="35" applyNumberFormat="1" applyFont="1" applyFill="1" applyBorder="1" applyAlignment="1">
      <alignment horizontal="center" vertical="center" wrapText="1"/>
    </xf>
    <xf numFmtId="0" fontId="3" fillId="0" borderId="1" xfId="35" applyFont="1" applyFill="1" applyBorder="1" applyAlignment="1">
      <alignment horizontal="center" vertical="center" wrapText="1"/>
    </xf>
    <xf numFmtId="0" fontId="0" fillId="0" borderId="1" xfId="0" applyFill="1" applyBorder="1"/>
    <xf numFmtId="9" fontId="13" fillId="0" borderId="1" xfId="37" applyFont="1" applyBorder="1"/>
    <xf numFmtId="2" fontId="0" fillId="0" borderId="1" xfId="0" applyNumberFormat="1" applyFill="1" applyBorder="1"/>
    <xf numFmtId="2" fontId="0" fillId="0" borderId="1" xfId="0" applyNumberFormat="1" applyBorder="1"/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35" applyFont="1" applyFill="1" applyBorder="1" applyAlignment="1">
      <alignment horizontal="center" vertical="center"/>
    </xf>
    <xf numFmtId="0" fontId="3" fillId="0" borderId="0" xfId="35" applyFont="1" applyFill="1" applyBorder="1" applyAlignment="1">
      <alignment horizontal="center" vertical="center" wrapText="1"/>
    </xf>
    <xf numFmtId="0" fontId="3" fillId="34" borderId="1" xfId="35" applyFont="1" applyFill="1" applyBorder="1" applyAlignment="1">
      <alignment horizontal="center" vertical="center"/>
    </xf>
    <xf numFmtId="0" fontId="0" fillId="34" borderId="1" xfId="0" applyFill="1" applyBorder="1" applyAlignment="1">
      <alignment horizontal="center"/>
    </xf>
    <xf numFmtId="168" fontId="13" fillId="0" borderId="1" xfId="37" applyNumberFormat="1" applyFont="1" applyBorder="1"/>
    <xf numFmtId="0" fontId="0" fillId="0" borderId="1" xfId="0" applyFont="1" applyBorder="1" applyAlignment="1">
      <alignment horizontal="center" vertical="center"/>
    </xf>
    <xf numFmtId="0" fontId="0" fillId="34" borderId="2" xfId="0" applyFill="1" applyBorder="1" applyAlignment="1"/>
    <xf numFmtId="0" fontId="0" fillId="34" borderId="1" xfId="0" applyFill="1" applyBorder="1" applyAlignment="1">
      <alignment horizontal="center"/>
    </xf>
    <xf numFmtId="10" fontId="13" fillId="0" borderId="1" xfId="37" applyNumberFormat="1" applyFont="1" applyFill="1" applyBorder="1"/>
    <xf numFmtId="0" fontId="0" fillId="34" borderId="1" xfId="0" applyFill="1" applyBorder="1" applyAlignment="1"/>
    <xf numFmtId="0" fontId="31" fillId="34" borderId="1" xfId="0" applyFont="1" applyFill="1" applyBorder="1" applyAlignme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0" fontId="2" fillId="35" borderId="1" xfId="0" applyNumberFormat="1" applyFont="1" applyFill="1" applyBorder="1" applyAlignment="1">
      <alignment horizontal="center"/>
    </xf>
    <xf numFmtId="10" fontId="7" fillId="35" borderId="1" xfId="0" applyNumberFormat="1" applyFont="1" applyFill="1" applyBorder="1" applyAlignment="1">
      <alignment horizontal="center"/>
    </xf>
    <xf numFmtId="0" fontId="0" fillId="34" borderId="1" xfId="0" applyFill="1" applyBorder="1" applyAlignment="1">
      <alignment horizontal="center"/>
    </xf>
    <xf numFmtId="0" fontId="11" fillId="36" borderId="0" xfId="0" applyFont="1" applyFill="1" applyBorder="1" applyAlignment="1" applyProtection="1">
      <alignment horizontal="left" vertical="center" wrapText="1"/>
    </xf>
    <xf numFmtId="0" fontId="11" fillId="36" borderId="3" xfId="0" applyFont="1" applyFill="1" applyBorder="1" applyAlignment="1" applyProtection="1">
      <alignment horizontal="left" vertical="center" wrapText="1"/>
    </xf>
    <xf numFmtId="0" fontId="32" fillId="37" borderId="4" xfId="0" applyFont="1" applyFill="1" applyBorder="1" applyAlignment="1" applyProtection="1">
      <alignment vertical="center"/>
    </xf>
    <xf numFmtId="0" fontId="11" fillId="37" borderId="5" xfId="0" applyFont="1" applyFill="1" applyBorder="1" applyAlignment="1" applyProtection="1">
      <alignment vertical="center"/>
    </xf>
    <xf numFmtId="0" fontId="11" fillId="36" borderId="5" xfId="0" applyFont="1" applyFill="1" applyBorder="1" applyAlignment="1" applyProtection="1">
      <alignment vertical="center"/>
    </xf>
    <xf numFmtId="0" fontId="2" fillId="34" borderId="1" xfId="0" applyFont="1" applyFill="1" applyBorder="1" applyAlignment="1">
      <alignment horizontal="center" wrapText="1"/>
    </xf>
    <xf numFmtId="0" fontId="11" fillId="36" borderId="4" xfId="0" applyFont="1" applyFill="1" applyBorder="1" applyProtection="1"/>
    <xf numFmtId="0" fontId="11" fillId="36" borderId="6" xfId="0" applyFont="1" applyFill="1" applyBorder="1" applyProtection="1"/>
    <xf numFmtId="0" fontId="0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10" fontId="13" fillId="0" borderId="1" xfId="37" applyNumberFormat="1" applyFont="1" applyBorder="1" applyAlignment="1">
      <alignment horizontal="center" vertical="center"/>
    </xf>
    <xf numFmtId="10" fontId="13" fillId="0" borderId="1" xfId="37" applyNumberFormat="1" applyFont="1" applyFill="1" applyBorder="1" applyAlignment="1">
      <alignment horizontal="center" vertical="center"/>
    </xf>
    <xf numFmtId="10" fontId="13" fillId="0" borderId="1" xfId="37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/>
    </xf>
    <xf numFmtId="0" fontId="2" fillId="34" borderId="1" xfId="0" applyFont="1" applyFill="1" applyBorder="1" applyAlignment="1">
      <alignment vertical="center"/>
    </xf>
    <xf numFmtId="0" fontId="0" fillId="34" borderId="1" xfId="0" applyFill="1" applyBorder="1" applyAlignment="1">
      <alignment horizontal="center" vertical="center"/>
    </xf>
    <xf numFmtId="9" fontId="13" fillId="0" borderId="1" xfId="37" applyFont="1" applyBorder="1" applyAlignment="1">
      <alignment horizontal="center" vertical="center"/>
    </xf>
    <xf numFmtId="9" fontId="13" fillId="0" borderId="7" xfId="37" applyFont="1" applyBorder="1"/>
    <xf numFmtId="0" fontId="3" fillId="34" borderId="1" xfId="35" applyFont="1" applyFill="1" applyBorder="1" applyAlignment="1">
      <alignment horizontal="center" vertical="center" wrapText="1"/>
    </xf>
    <xf numFmtId="0" fontId="11" fillId="36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Border="1"/>
    <xf numFmtId="168" fontId="13" fillId="0" borderId="1" xfId="37" applyNumberFormat="1" applyFont="1" applyFill="1" applyBorder="1" applyAlignment="1">
      <alignment horizontal="center" vertical="center"/>
    </xf>
    <xf numFmtId="0" fontId="33" fillId="0" borderId="0" xfId="0" applyFont="1"/>
    <xf numFmtId="0" fontId="33" fillId="0" borderId="1" xfId="0" applyFont="1" applyBorder="1"/>
    <xf numFmtId="0" fontId="33" fillId="34" borderId="1" xfId="0" applyFont="1" applyFill="1" applyBorder="1" applyAlignment="1"/>
    <xf numFmtId="9" fontId="33" fillId="34" borderId="1" xfId="37" applyFont="1" applyFill="1" applyBorder="1" applyAlignment="1">
      <alignment horizontal="center"/>
    </xf>
    <xf numFmtId="0" fontId="33" fillId="0" borderId="1" xfId="0" applyFont="1" applyBorder="1" applyAlignment="1">
      <alignment horizontal="left"/>
    </xf>
    <xf numFmtId="9" fontId="33" fillId="0" borderId="1" xfId="37" applyFont="1" applyFill="1" applyBorder="1"/>
    <xf numFmtId="9" fontId="33" fillId="0" borderId="1" xfId="37" applyFont="1" applyBorder="1"/>
    <xf numFmtId="1" fontId="33" fillId="0" borderId="1" xfId="0" applyNumberFormat="1" applyFont="1" applyBorder="1" applyAlignment="1">
      <alignment horizontal="center" vertical="center"/>
    </xf>
    <xf numFmtId="0" fontId="33" fillId="0" borderId="1" xfId="0" applyFont="1" applyFill="1" applyBorder="1" applyAlignment="1">
      <alignment horizontal="right"/>
    </xf>
    <xf numFmtId="0" fontId="33" fillId="0" borderId="1" xfId="0" applyFont="1" applyFill="1" applyBorder="1"/>
    <xf numFmtId="2" fontId="13" fillId="0" borderId="1" xfId="37" applyNumberFormat="1" applyFont="1" applyBorder="1" applyAlignment="1">
      <alignment horizontal="center" vertical="center"/>
    </xf>
    <xf numFmtId="2" fontId="13" fillId="0" borderId="1" xfId="37" applyNumberFormat="1" applyFont="1" applyBorder="1"/>
    <xf numFmtId="0" fontId="32" fillId="37" borderId="8" xfId="0" applyFont="1" applyFill="1" applyBorder="1" applyAlignment="1" applyProtection="1">
      <alignment vertical="center"/>
    </xf>
    <xf numFmtId="0" fontId="11" fillId="37" borderId="9" xfId="0" applyFont="1" applyFill="1" applyBorder="1" applyAlignment="1" applyProtection="1">
      <alignment vertical="center"/>
    </xf>
    <xf numFmtId="0" fontId="11" fillId="36" borderId="10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left"/>
    </xf>
    <xf numFmtId="0" fontId="11" fillId="37" borderId="11" xfId="0" applyFont="1" applyFill="1" applyBorder="1" applyAlignment="1" applyProtection="1">
      <alignment horizontal="left" vertical="center"/>
    </xf>
    <xf numFmtId="0" fontId="32" fillId="37" borderId="0" xfId="0" applyFont="1" applyFill="1" applyBorder="1" applyAlignment="1" applyProtection="1">
      <alignment horizontal="left" vertical="center"/>
    </xf>
    <xf numFmtId="0" fontId="11" fillId="37" borderId="0" xfId="0" applyFont="1" applyFill="1" applyBorder="1" applyAlignment="1" applyProtection="1">
      <alignment horizontal="left" vertical="center"/>
    </xf>
    <xf numFmtId="0" fontId="11" fillId="36" borderId="3" xfId="0" applyFont="1" applyFill="1" applyBorder="1" applyAlignment="1" applyProtection="1">
      <alignment horizontal="left"/>
    </xf>
    <xf numFmtId="0" fontId="8" fillId="38" borderId="0" xfId="33" applyFont="1" applyFill="1" applyBorder="1" applyAlignment="1" applyProtection="1">
      <alignment vertical="center" wrapText="1"/>
    </xf>
    <xf numFmtId="0" fontId="8" fillId="38" borderId="5" xfId="33" applyFont="1" applyFill="1" applyBorder="1" applyAlignment="1" applyProtection="1">
      <alignment vertical="center" wrapText="1"/>
    </xf>
    <xf numFmtId="9" fontId="13" fillId="0" borderId="1" xfId="37" applyFont="1" applyFill="1" applyBorder="1"/>
    <xf numFmtId="0" fontId="37" fillId="36" borderId="5" xfId="0" applyFont="1" applyFill="1" applyBorder="1" applyAlignment="1" applyProtection="1">
      <alignment vertical="center" wrapText="1"/>
    </xf>
    <xf numFmtId="0" fontId="38" fillId="0" borderId="1" xfId="0" applyFont="1" applyFill="1" applyBorder="1" applyAlignment="1">
      <alignment horizontal="left" vertical="center"/>
    </xf>
    <xf numFmtId="170" fontId="38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3" fillId="34" borderId="1" xfId="0" applyFont="1" applyFill="1" applyBorder="1" applyAlignment="1">
      <alignment horizontal="center"/>
    </xf>
    <xf numFmtId="0" fontId="11" fillId="36" borderId="12" xfId="0" applyFont="1" applyFill="1" applyBorder="1" applyAlignment="1" applyProtection="1">
      <alignment vertical="center" wrapText="1"/>
    </xf>
    <xf numFmtId="0" fontId="33" fillId="0" borderId="1" xfId="37" applyNumberFormat="1" applyFont="1" applyFill="1" applyBorder="1" applyAlignment="1">
      <alignment horizontal="center" vertical="center"/>
    </xf>
    <xf numFmtId="0" fontId="13" fillId="0" borderId="1" xfId="37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0" fontId="0" fillId="0" borderId="0" xfId="0" applyNumberFormat="1"/>
    <xf numFmtId="0" fontId="13" fillId="0" borderId="1" xfId="37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5" fontId="13" fillId="0" borderId="0" xfId="3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65" fontId="13" fillId="0" borderId="13" xfId="3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 vertical="center"/>
    </xf>
    <xf numFmtId="165" fontId="13" fillId="0" borderId="1" xfId="37" applyNumberFormat="1" applyFont="1" applyFill="1" applyBorder="1" applyAlignment="1">
      <alignment horizontal="center" vertical="center"/>
    </xf>
    <xf numFmtId="10" fontId="13" fillId="0" borderId="0" xfId="37" applyNumberFormat="1" applyFont="1"/>
    <xf numFmtId="165" fontId="0" fillId="0" borderId="0" xfId="0" applyNumberFormat="1"/>
    <xf numFmtId="165" fontId="13" fillId="0" borderId="1" xfId="37" applyNumberFormat="1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3" fillId="0" borderId="0" xfId="37" applyNumberFormat="1" applyFont="1" applyBorder="1" applyAlignment="1">
      <alignment horizontal="center" vertical="center"/>
    </xf>
    <xf numFmtId="0" fontId="11" fillId="40" borderId="4" xfId="0" applyFont="1" applyFill="1" applyBorder="1" applyAlignment="1" applyProtection="1">
      <alignment vertical="center"/>
    </xf>
    <xf numFmtId="0" fontId="11" fillId="40" borderId="0" xfId="0" applyFont="1" applyFill="1" applyBorder="1" applyAlignment="1" applyProtection="1">
      <alignment horizontal="left" vertical="center"/>
    </xf>
    <xf numFmtId="0" fontId="11" fillId="40" borderId="4" xfId="0" applyFont="1" applyFill="1" applyBorder="1" applyProtection="1"/>
    <xf numFmtId="0" fontId="36" fillId="40" borderId="4" xfId="0" applyFont="1" applyFill="1" applyBorder="1" applyProtection="1"/>
    <xf numFmtId="0" fontId="37" fillId="40" borderId="6" xfId="0" applyFont="1" applyFill="1" applyBorder="1" applyProtection="1"/>
    <xf numFmtId="0" fontId="37" fillId="40" borderId="3" xfId="0" applyFont="1" applyFill="1" applyBorder="1" applyAlignment="1" applyProtection="1">
      <alignment horizontal="left"/>
    </xf>
    <xf numFmtId="0" fontId="11" fillId="40" borderId="5" xfId="0" applyFont="1" applyFill="1" applyBorder="1" applyProtection="1"/>
    <xf numFmtId="0" fontId="37" fillId="40" borderId="10" xfId="0" applyFont="1" applyFill="1" applyBorder="1" applyProtection="1"/>
    <xf numFmtId="0" fontId="0" fillId="38" borderId="0" xfId="0" applyFill="1" applyProtection="1"/>
    <xf numFmtId="0" fontId="0" fillId="38" borderId="0" xfId="0" applyFill="1" applyAlignment="1" applyProtection="1">
      <alignment horizontal="left"/>
    </xf>
    <xf numFmtId="0" fontId="35" fillId="38" borderId="0" xfId="0" applyFont="1" applyFill="1" applyAlignment="1" applyProtection="1">
      <alignment vertical="center"/>
    </xf>
    <xf numFmtId="0" fontId="0" fillId="0" borderId="0" xfId="0" applyProtection="1"/>
    <xf numFmtId="0" fontId="35" fillId="38" borderId="0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35" fillId="0" borderId="0" xfId="0" applyFont="1" applyAlignment="1" applyProtection="1">
      <alignment vertical="center"/>
    </xf>
    <xf numFmtId="0" fontId="0" fillId="39" borderId="1" xfId="0" applyFont="1" applyFill="1" applyBorder="1" applyAlignment="1" applyProtection="1">
      <alignment horizontal="center"/>
    </xf>
    <xf numFmtId="0" fontId="35" fillId="38" borderId="0" xfId="0" applyFont="1" applyFill="1" applyBorder="1" applyAlignment="1" applyProtection="1">
      <alignment horizontal="left" vertical="top" wrapText="1"/>
    </xf>
    <xf numFmtId="0" fontId="35" fillId="38" borderId="0" xfId="0" applyFont="1" applyFill="1" applyBorder="1" applyAlignment="1" applyProtection="1">
      <alignment horizontal="left" vertical="center"/>
    </xf>
    <xf numFmtId="0" fontId="37" fillId="36" borderId="5" xfId="0" applyFont="1" applyFill="1" applyBorder="1" applyAlignment="1" applyProtection="1">
      <alignment horizontal="center" vertical="center" wrapText="1"/>
    </xf>
    <xf numFmtId="0" fontId="11" fillId="40" borderId="0" xfId="0" applyFont="1" applyFill="1" applyBorder="1" applyAlignment="1" applyProtection="1">
      <alignment horizontal="left" vertical="center" wrapText="1"/>
    </xf>
    <xf numFmtId="170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8" fillId="46" borderId="34" xfId="0" applyFont="1" applyFill="1" applyBorder="1" applyAlignment="1">
      <alignment horizontal="center" vertical="center"/>
    </xf>
    <xf numFmtId="0" fontId="38" fillId="46" borderId="35" xfId="0" applyFont="1" applyFill="1" applyBorder="1" applyAlignment="1">
      <alignment horizontal="center" vertical="center"/>
    </xf>
    <xf numFmtId="0" fontId="38" fillId="46" borderId="36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0" fillId="46" borderId="6" xfId="0" applyFill="1" applyBorder="1" applyAlignment="1" applyProtection="1">
      <alignment horizontal="center"/>
    </xf>
    <xf numFmtId="0" fontId="0" fillId="46" borderId="3" xfId="0" applyFill="1" applyBorder="1" applyAlignment="1" applyProtection="1">
      <alignment horizontal="center"/>
    </xf>
    <xf numFmtId="0" fontId="37" fillId="40" borderId="3" xfId="0" applyFont="1" applyFill="1" applyBorder="1" applyAlignment="1" applyProtection="1">
      <alignment horizontal="center"/>
    </xf>
    <xf numFmtId="169" fontId="11" fillId="36" borderId="3" xfId="0" applyNumberFormat="1" applyFont="1" applyFill="1" applyBorder="1" applyAlignment="1" applyProtection="1">
      <alignment horizontal="center" vertical="center"/>
    </xf>
    <xf numFmtId="0" fontId="11" fillId="36" borderId="0" xfId="0" applyFont="1" applyFill="1" applyBorder="1" applyAlignment="1" applyProtection="1">
      <alignment horizontal="center" vertical="center"/>
    </xf>
    <xf numFmtId="0" fontId="11" fillId="37" borderId="0" xfId="0" applyFont="1" applyFill="1" applyBorder="1" applyAlignment="1" applyProtection="1">
      <alignment horizontal="center" vertical="center"/>
    </xf>
    <xf numFmtId="0" fontId="37" fillId="41" borderId="2" xfId="0" applyFont="1" applyFill="1" applyBorder="1" applyAlignment="1" applyProtection="1">
      <alignment horizontal="center" vertical="center"/>
      <protection locked="0"/>
    </xf>
    <xf numFmtId="0" fontId="37" fillId="41" borderId="14" xfId="0" applyFont="1" applyFill="1" applyBorder="1" applyAlignment="1" applyProtection="1">
      <alignment horizontal="center" vertical="center"/>
      <protection locked="0"/>
    </xf>
    <xf numFmtId="0" fontId="37" fillId="41" borderId="15" xfId="0" applyFont="1" applyFill="1" applyBorder="1" applyAlignment="1" applyProtection="1">
      <alignment horizontal="center" vertical="center"/>
      <protection locked="0"/>
    </xf>
    <xf numFmtId="0" fontId="37" fillId="39" borderId="1" xfId="37" applyNumberFormat="1" applyFont="1" applyFill="1" applyBorder="1" applyAlignment="1" applyProtection="1">
      <alignment horizontal="center" vertical="center"/>
      <protection locked="0"/>
    </xf>
    <xf numFmtId="0" fontId="11" fillId="40" borderId="0" xfId="0" applyFont="1" applyFill="1" applyBorder="1" applyAlignment="1" applyProtection="1">
      <alignment horizontal="center" vertical="center"/>
    </xf>
    <xf numFmtId="9" fontId="10" fillId="39" borderId="1" xfId="37" applyFont="1" applyFill="1" applyBorder="1" applyAlignment="1" applyProtection="1">
      <alignment horizontal="center" vertical="center"/>
      <protection locked="0"/>
    </xf>
    <xf numFmtId="166" fontId="11" fillId="47" borderId="42" xfId="0" applyNumberFormat="1" applyFont="1" applyFill="1" applyBorder="1" applyAlignment="1" applyProtection="1">
      <alignment horizontal="center" vertical="center"/>
    </xf>
    <xf numFmtId="166" fontId="11" fillId="47" borderId="43" xfId="0" applyNumberFormat="1" applyFont="1" applyFill="1" applyBorder="1" applyAlignment="1" applyProtection="1">
      <alignment horizontal="center" vertical="center"/>
    </xf>
    <xf numFmtId="166" fontId="11" fillId="47" borderId="44" xfId="0" applyNumberFormat="1" applyFont="1" applyFill="1" applyBorder="1" applyAlignment="1" applyProtection="1">
      <alignment horizontal="center" vertical="center"/>
    </xf>
    <xf numFmtId="0" fontId="11" fillId="37" borderId="11" xfId="0" applyFont="1" applyFill="1" applyBorder="1" applyAlignment="1" applyProtection="1">
      <alignment horizontal="center" vertical="center"/>
    </xf>
    <xf numFmtId="0" fontId="37" fillId="39" borderId="2" xfId="0" applyFont="1" applyFill="1" applyBorder="1" applyAlignment="1" applyProtection="1">
      <alignment horizontal="center" vertical="center"/>
      <protection locked="0"/>
    </xf>
    <xf numFmtId="0" fontId="37" fillId="39" borderId="14" xfId="0" applyFont="1" applyFill="1" applyBorder="1" applyAlignment="1" applyProtection="1">
      <alignment horizontal="center" vertical="center"/>
      <protection locked="0"/>
    </xf>
    <xf numFmtId="0" fontId="37" fillId="39" borderId="15" xfId="0" applyFont="1" applyFill="1" applyBorder="1" applyAlignment="1" applyProtection="1">
      <alignment horizontal="center" vertical="center"/>
      <protection locked="0"/>
    </xf>
    <xf numFmtId="0" fontId="11" fillId="36" borderId="0" xfId="0" applyFont="1" applyFill="1" applyBorder="1" applyAlignment="1" applyProtection="1">
      <alignment horizontal="center" vertical="center" wrapText="1"/>
    </xf>
    <xf numFmtId="0" fontId="2" fillId="43" borderId="8" xfId="33" applyFont="1" applyFill="1" applyBorder="1" applyAlignment="1" applyProtection="1">
      <alignment horizontal="center" vertical="center" wrapText="1"/>
    </xf>
    <xf numFmtId="0" fontId="2" fillId="43" borderId="11" xfId="33" applyFont="1" applyFill="1" applyBorder="1" applyAlignment="1" applyProtection="1">
      <alignment horizontal="center" vertical="center" wrapText="1"/>
    </xf>
    <xf numFmtId="0" fontId="2" fillId="43" borderId="9" xfId="33" applyFont="1" applyFill="1" applyBorder="1" applyAlignment="1" applyProtection="1">
      <alignment horizontal="center" vertical="center" wrapText="1"/>
    </xf>
    <xf numFmtId="0" fontId="9" fillId="43" borderId="6" xfId="33" applyFont="1" applyFill="1" applyBorder="1" applyAlignment="1" applyProtection="1">
      <alignment horizontal="left" vertical="center" wrapText="1"/>
    </xf>
    <xf numFmtId="0" fontId="9" fillId="43" borderId="3" xfId="33" applyFont="1" applyFill="1" applyBorder="1" applyAlignment="1" applyProtection="1">
      <alignment horizontal="left" vertical="center" wrapText="1"/>
    </xf>
    <xf numFmtId="0" fontId="9" fillId="43" borderId="10" xfId="33" applyFont="1" applyFill="1" applyBorder="1" applyAlignment="1" applyProtection="1">
      <alignment horizontal="left" vertical="center" wrapText="1"/>
    </xf>
    <xf numFmtId="0" fontId="12" fillId="38" borderId="4" xfId="33" applyFont="1" applyFill="1" applyBorder="1" applyAlignment="1" applyProtection="1">
      <alignment horizontal="center" vertical="center" wrapText="1"/>
    </xf>
    <xf numFmtId="0" fontId="12" fillId="38" borderId="0" xfId="33" applyFont="1" applyFill="1" applyBorder="1" applyAlignment="1" applyProtection="1">
      <alignment horizontal="center" vertical="center" wrapText="1"/>
    </xf>
    <xf numFmtId="0" fontId="11" fillId="39" borderId="16" xfId="0" applyFont="1" applyFill="1" applyBorder="1" applyAlignment="1" applyProtection="1">
      <alignment vertical="center"/>
    </xf>
    <xf numFmtId="0" fontId="11" fillId="39" borderId="17" xfId="0" applyFont="1" applyFill="1" applyBorder="1" applyAlignment="1" applyProtection="1">
      <alignment vertical="center"/>
    </xf>
    <xf numFmtId="0" fontId="11" fillId="39" borderId="18" xfId="0" applyFont="1" applyFill="1" applyBorder="1" applyAlignment="1" applyProtection="1">
      <alignment vertical="center"/>
    </xf>
    <xf numFmtId="0" fontId="37" fillId="44" borderId="2" xfId="0" applyFont="1" applyFill="1" applyBorder="1" applyAlignment="1" applyProtection="1">
      <alignment horizontal="center" vertical="center"/>
    </xf>
    <xf numFmtId="0" fontId="37" fillId="44" borderId="14" xfId="0" applyFont="1" applyFill="1" applyBorder="1" applyAlignment="1" applyProtection="1">
      <alignment horizontal="center" vertical="center"/>
    </xf>
    <xf numFmtId="0" fontId="37" fillId="44" borderId="15" xfId="0" applyFont="1" applyFill="1" applyBorder="1" applyAlignment="1" applyProtection="1">
      <alignment horizontal="center" vertical="center"/>
    </xf>
    <xf numFmtId="169" fontId="11" fillId="36" borderId="0" xfId="0" applyNumberFormat="1" applyFont="1" applyFill="1" applyBorder="1" applyAlignment="1" applyProtection="1">
      <alignment horizontal="center" vertical="center"/>
    </xf>
    <xf numFmtId="172" fontId="10" fillId="39" borderId="1" xfId="0" applyNumberFormat="1" applyFont="1" applyFill="1" applyBorder="1" applyAlignment="1" applyProtection="1">
      <alignment horizontal="center" vertical="center"/>
      <protection locked="0"/>
    </xf>
    <xf numFmtId="168" fontId="10" fillId="39" borderId="1" xfId="0" applyNumberFormat="1" applyFont="1" applyFill="1" applyBorder="1" applyAlignment="1" applyProtection="1">
      <alignment horizontal="center" vertical="center"/>
      <protection locked="0"/>
    </xf>
    <xf numFmtId="0" fontId="35" fillId="38" borderId="4" xfId="0" applyFont="1" applyFill="1" applyBorder="1" applyAlignment="1" applyProtection="1">
      <alignment horizontal="left" vertical="center"/>
    </xf>
    <xf numFmtId="0" fontId="10" fillId="39" borderId="1" xfId="0" applyNumberFormat="1" applyFont="1" applyFill="1" applyBorder="1" applyAlignment="1" applyProtection="1">
      <alignment horizontal="center" vertical="center"/>
      <protection locked="0"/>
    </xf>
    <xf numFmtId="0" fontId="37" fillId="36" borderId="19" xfId="0" applyFont="1" applyFill="1" applyBorder="1" applyAlignment="1" applyProtection="1">
      <alignment horizontal="center" vertical="center" wrapText="1"/>
    </xf>
    <xf numFmtId="0" fontId="35" fillId="38" borderId="4" xfId="0" applyFont="1" applyFill="1" applyBorder="1" applyAlignment="1" applyProtection="1">
      <alignment horizontal="left" vertical="top" wrapText="1"/>
    </xf>
    <xf numFmtId="0" fontId="37" fillId="36" borderId="5" xfId="0" applyFont="1" applyFill="1" applyBorder="1" applyAlignment="1" applyProtection="1">
      <alignment horizontal="center" vertical="center" wrapText="1"/>
    </xf>
    <xf numFmtId="171" fontId="37" fillId="39" borderId="2" xfId="37" applyNumberFormat="1" applyFont="1" applyFill="1" applyBorder="1" applyAlignment="1" applyProtection="1">
      <alignment horizontal="center" vertical="center"/>
      <protection locked="0"/>
    </xf>
    <xf numFmtId="171" fontId="37" fillId="39" borderId="14" xfId="37" applyNumberFormat="1" applyFont="1" applyFill="1" applyBorder="1" applyAlignment="1" applyProtection="1">
      <alignment horizontal="center" vertical="center"/>
      <protection locked="0"/>
    </xf>
    <xf numFmtId="171" fontId="37" fillId="39" borderId="15" xfId="37" applyNumberFormat="1" applyFont="1" applyFill="1" applyBorder="1" applyAlignment="1" applyProtection="1">
      <alignment horizontal="center" vertical="center"/>
      <protection locked="0"/>
    </xf>
    <xf numFmtId="0" fontId="39" fillId="36" borderId="1" xfId="0" applyFont="1" applyFill="1" applyBorder="1" applyAlignment="1" applyProtection="1">
      <alignment horizontal="center"/>
    </xf>
    <xf numFmtId="0" fontId="28" fillId="36" borderId="1" xfId="0" applyFont="1" applyFill="1" applyBorder="1" applyAlignment="1" applyProtection="1">
      <alignment horizontal="center"/>
    </xf>
    <xf numFmtId="0" fontId="0" fillId="42" borderId="1" xfId="0" applyFont="1" applyFill="1" applyBorder="1" applyAlignment="1" applyProtection="1">
      <alignment horizontal="center"/>
    </xf>
    <xf numFmtId="0" fontId="0" fillId="44" borderId="1" xfId="0" applyFont="1" applyFill="1" applyBorder="1" applyAlignment="1" applyProtection="1">
      <alignment horizontal="center"/>
    </xf>
    <xf numFmtId="0" fontId="11" fillId="40" borderId="0" xfId="0" applyFont="1" applyFill="1" applyBorder="1" applyAlignment="1" applyProtection="1">
      <alignment horizontal="left" vertical="center" wrapText="1"/>
    </xf>
    <xf numFmtId="167" fontId="11" fillId="45" borderId="20" xfId="0" applyNumberFormat="1" applyFont="1" applyFill="1" applyBorder="1" applyAlignment="1" applyProtection="1">
      <alignment horizontal="center" vertical="center"/>
    </xf>
    <xf numFmtId="167" fontId="11" fillId="45" borderId="21" xfId="0" applyNumberFormat="1" applyFont="1" applyFill="1" applyBorder="1" applyAlignment="1" applyProtection="1">
      <alignment horizontal="center" vertical="center"/>
    </xf>
    <xf numFmtId="167" fontId="11" fillId="45" borderId="22" xfId="0" applyNumberFormat="1" applyFont="1" applyFill="1" applyBorder="1" applyAlignment="1" applyProtection="1">
      <alignment horizontal="center" vertical="center"/>
    </xf>
    <xf numFmtId="0" fontId="33" fillId="34" borderId="1" xfId="0" applyFont="1" applyFill="1" applyBorder="1" applyAlignment="1">
      <alignment horizontal="center"/>
    </xf>
    <xf numFmtId="10" fontId="2" fillId="35" borderId="1" xfId="0" applyNumberFormat="1" applyFont="1" applyFill="1" applyBorder="1" applyAlignment="1">
      <alignment horizontal="center"/>
    </xf>
    <xf numFmtId="168" fontId="13" fillId="0" borderId="1" xfId="37" applyNumberFormat="1" applyFont="1" applyBorder="1" applyAlignment="1">
      <alignment horizontal="center"/>
    </xf>
    <xf numFmtId="9" fontId="13" fillId="0" borderId="2" xfId="37" applyFont="1" applyBorder="1" applyAlignment="1">
      <alignment horizontal="center"/>
    </xf>
    <xf numFmtId="9" fontId="13" fillId="0" borderId="15" xfId="37" applyFont="1" applyBorder="1" applyAlignment="1">
      <alignment horizontal="center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33" fillId="34" borderId="1" xfId="0" applyFont="1" applyFill="1" applyBorder="1" applyAlignment="1">
      <alignment horizontal="center" vertical="center"/>
    </xf>
  </cellXfs>
  <cellStyles count="48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Milliers" xfId="30" builtinId="3"/>
    <cellStyle name="Neutre" xfId="31" builtinId="28" customBuiltin="1"/>
    <cellStyle name="Normal" xfId="0" builtinId="0"/>
    <cellStyle name="Normal 2" xfId="32" xr:uid="{00000000-0005-0000-0000-000021000000}"/>
    <cellStyle name="Normal 2 3" xfId="33" xr:uid="{00000000-0005-0000-0000-000022000000}"/>
    <cellStyle name="Normal 3" xfId="34" xr:uid="{00000000-0005-0000-0000-000023000000}"/>
    <cellStyle name="Normal_Feuil1" xfId="35" xr:uid="{00000000-0005-0000-0000-000024000000}"/>
    <cellStyle name="Note" xfId="36" builtinId="10" customBuiltin="1"/>
    <cellStyle name="Pourcentage" xfId="37" builtinId="5"/>
    <cellStyle name="Satisfaisant" xfId="38" builtinId="26" customBuiltin="1"/>
    <cellStyle name="Sortie" xfId="39" builtinId="21" customBuiltin="1"/>
    <cellStyle name="Texte explicatif" xfId="40" builtinId="53" customBuiltin="1"/>
    <cellStyle name="Titre" xfId="41" builtinId="15" customBuiltin="1"/>
    <cellStyle name="Titre 1" xfId="42" builtinId="16" customBuiltin="1"/>
    <cellStyle name="Titre 2" xfId="43" builtinId="17" customBuiltin="1"/>
    <cellStyle name="Titre 3" xfId="44" builtinId="18" customBuiltin="1"/>
    <cellStyle name="Titre 4" xfId="45" builtinId="19" customBuiltin="1"/>
    <cellStyle name="Total" xfId="46" builtinId="25" customBuiltin="1"/>
    <cellStyle name="Vérification" xfId="47" builtinId="23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69696"/>
      </font>
      <fill>
        <patternFill>
          <bgColor rgb="FF969696"/>
        </patternFill>
      </fill>
    </dxf>
    <dxf>
      <font>
        <color rgb="FF969696"/>
      </font>
      <fill>
        <patternFill>
          <bgColor rgb="FF96969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819150</xdr:colOff>
      <xdr:row>10</xdr:row>
      <xdr:rowOff>9525</xdr:rowOff>
    </xdr:to>
    <xdr:pic>
      <xdr:nvPicPr>
        <xdr:cNvPr id="1025" name="Imag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200025"/>
          <a:ext cx="8191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1</xdr:row>
      <xdr:rowOff>171450</xdr:rowOff>
    </xdr:to>
    <xdr:pic>
      <xdr:nvPicPr>
        <xdr:cNvPr id="2049" name="Image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charte PCs">
      <a:dk1>
        <a:sysClr val="windowText" lastClr="000000"/>
      </a:dk1>
      <a:lt1>
        <a:sysClr val="window" lastClr="FFFFFF"/>
      </a:lt1>
      <a:dk2>
        <a:srgbClr val="82553F"/>
      </a:dk2>
      <a:lt2>
        <a:srgbClr val="8FB163"/>
      </a:lt2>
      <a:accent1>
        <a:srgbClr val="613C24"/>
      </a:accent1>
      <a:accent2>
        <a:srgbClr val="749848"/>
      </a:accent2>
      <a:accent3>
        <a:srgbClr val="A6FF00"/>
      </a:accent3>
      <a:accent4>
        <a:srgbClr val="66CCB8"/>
      </a:accent4>
      <a:accent5>
        <a:srgbClr val="00A68D"/>
      </a:accent5>
      <a:accent6>
        <a:srgbClr val="CC4033"/>
      </a:accent6>
      <a:hlink>
        <a:srgbClr val="982DB3"/>
      </a:hlink>
      <a:folHlink>
        <a:srgbClr val="7A00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B74"/>
  <sheetViews>
    <sheetView tabSelected="1" topLeftCell="A10" zoomScale="130" zoomScaleNormal="130" workbookViewId="0">
      <selection activeCell="D20" sqref="D20:F20"/>
    </sheetView>
  </sheetViews>
  <sheetFormatPr baseColWidth="10" defaultRowHeight="15" x14ac:dyDescent="0.25"/>
  <cols>
    <col min="1" max="2" width="3.7109375" style="123" customWidth="1"/>
    <col min="3" max="3" width="35.28515625" style="125" bestFit="1" customWidth="1"/>
    <col min="4" max="5" width="14.7109375" style="123" customWidth="1"/>
    <col min="6" max="6" width="14.7109375" style="126" customWidth="1"/>
    <col min="7" max="7" width="10.7109375" style="123" customWidth="1"/>
    <col min="8" max="8" width="49.28515625" style="123" customWidth="1"/>
    <col min="9" max="9" width="1.42578125" style="123" customWidth="1"/>
    <col min="10" max="10" width="13.42578125" style="123" customWidth="1"/>
    <col min="11" max="11" width="35.42578125" style="123" customWidth="1"/>
    <col min="12" max="12" width="11.42578125" style="123"/>
    <col min="13" max="13" width="1.42578125" style="123" customWidth="1"/>
    <col min="14" max="16" width="15.7109375" style="123" customWidth="1"/>
    <col min="17" max="16384" width="11.42578125" style="123"/>
  </cols>
  <sheetData>
    <row r="1" spans="1:28" ht="15.75" thickBot="1" x14ac:dyDescent="0.3">
      <c r="A1" s="120"/>
      <c r="B1" s="120"/>
      <c r="C1" s="121"/>
      <c r="D1" s="120"/>
      <c r="E1" s="120"/>
      <c r="F1" s="122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</row>
    <row r="2" spans="1:28" ht="15" customHeight="1" x14ac:dyDescent="0.25">
      <c r="A2" s="120"/>
      <c r="B2" s="170" t="s">
        <v>20</v>
      </c>
      <c r="C2" s="171"/>
      <c r="D2" s="171"/>
      <c r="E2" s="171"/>
      <c r="F2" s="171"/>
      <c r="G2" s="172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1:28" ht="24.95" customHeight="1" x14ac:dyDescent="0.25">
      <c r="A3" s="120"/>
      <c r="B3" s="176" t="s">
        <v>166</v>
      </c>
      <c r="C3" s="177"/>
      <c r="D3" s="177"/>
      <c r="E3" s="177"/>
      <c r="F3" s="80"/>
      <c r="G3" s="81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</row>
    <row r="4" spans="1:28" ht="15.95" customHeight="1" thickBot="1" x14ac:dyDescent="0.3">
      <c r="A4" s="120"/>
      <c r="B4" s="173" t="s">
        <v>167</v>
      </c>
      <c r="C4" s="174"/>
      <c r="D4" s="174"/>
      <c r="E4" s="174"/>
      <c r="F4" s="174"/>
      <c r="G4" s="175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</row>
    <row r="5" spans="1:28" ht="15" customHeight="1" thickBot="1" x14ac:dyDescent="0.3">
      <c r="A5" s="120"/>
      <c r="B5" s="178" t="s">
        <v>19</v>
      </c>
      <c r="C5" s="179"/>
      <c r="D5" s="179"/>
      <c r="E5" s="179"/>
      <c r="F5" s="179"/>
      <c r="G5" s="180"/>
      <c r="H5" s="120"/>
      <c r="I5" s="120"/>
      <c r="J5" s="196" t="s">
        <v>155</v>
      </c>
      <c r="K5" s="196"/>
      <c r="L5" s="196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</row>
    <row r="6" spans="1:28" ht="15" customHeight="1" x14ac:dyDescent="0.25">
      <c r="A6" s="120"/>
      <c r="B6" s="30" t="s">
        <v>18</v>
      </c>
      <c r="C6" s="75"/>
      <c r="D6" s="155"/>
      <c r="E6" s="155"/>
      <c r="F6" s="155"/>
      <c r="G6" s="31"/>
      <c r="H6" s="120"/>
      <c r="I6" s="120"/>
      <c r="J6" s="195" t="s">
        <v>156</v>
      </c>
      <c r="K6" s="195"/>
      <c r="L6" s="127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</row>
    <row r="7" spans="1:28" ht="6" customHeight="1" x14ac:dyDescent="0.25">
      <c r="A7" s="120"/>
      <c r="B7" s="34"/>
      <c r="C7" s="56"/>
      <c r="D7" s="154"/>
      <c r="E7" s="154"/>
      <c r="F7" s="154"/>
      <c r="G7" s="32"/>
      <c r="H7" s="120"/>
      <c r="I7" s="120"/>
      <c r="J7" s="195" t="s">
        <v>157</v>
      </c>
      <c r="K7" s="195"/>
      <c r="L7" s="197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</row>
    <row r="8" spans="1:28" ht="9.9499999999999993" customHeight="1" x14ac:dyDescent="0.25">
      <c r="A8" s="120"/>
      <c r="B8" s="34"/>
      <c r="C8" s="28" t="s">
        <v>169</v>
      </c>
      <c r="D8" s="156">
        <v>75</v>
      </c>
      <c r="E8" s="157"/>
      <c r="F8" s="158"/>
      <c r="G8" s="32"/>
      <c r="H8" s="120"/>
      <c r="I8" s="120"/>
      <c r="J8" s="195"/>
      <c r="K8" s="195"/>
      <c r="L8" s="197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</row>
    <row r="9" spans="1:28" ht="9.9499999999999993" customHeight="1" x14ac:dyDescent="0.25">
      <c r="A9" s="120"/>
      <c r="B9" s="34"/>
      <c r="C9" s="28" t="s">
        <v>39</v>
      </c>
      <c r="D9" s="181" t="str">
        <f>VLOOKUP(D8,ELEMENTS!B3:C98,2)</f>
        <v>H1a</v>
      </c>
      <c r="E9" s="182"/>
      <c r="F9" s="183"/>
      <c r="G9" s="32"/>
      <c r="H9" s="120"/>
      <c r="I9" s="120"/>
      <c r="J9" s="195" t="s">
        <v>158</v>
      </c>
      <c r="K9" s="195"/>
      <c r="L9" s="198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6" customHeight="1" thickBot="1" x14ac:dyDescent="0.3">
      <c r="A10" s="120"/>
      <c r="B10" s="34"/>
      <c r="C10" s="28"/>
      <c r="D10" s="184"/>
      <c r="E10" s="184"/>
      <c r="F10" s="184"/>
      <c r="G10" s="32"/>
      <c r="H10" s="120"/>
      <c r="I10" s="120"/>
      <c r="J10" s="195"/>
      <c r="K10" s="195"/>
      <c r="L10" s="198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5" customHeight="1" x14ac:dyDescent="0.25">
      <c r="A11" s="120"/>
      <c r="B11" s="72" t="s">
        <v>17</v>
      </c>
      <c r="C11" s="76"/>
      <c r="D11" s="165"/>
      <c r="E11" s="165"/>
      <c r="F11" s="165"/>
      <c r="G11" s="73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5.75" thickBot="1" x14ac:dyDescent="0.3">
      <c r="A12" s="120"/>
      <c r="B12" s="34"/>
      <c r="C12" s="56"/>
      <c r="D12" s="154"/>
      <c r="E12" s="154"/>
      <c r="F12" s="154"/>
      <c r="G12" s="32"/>
      <c r="H12" s="150" t="s">
        <v>164</v>
      </c>
      <c r="I12" s="151"/>
      <c r="J12" s="151"/>
      <c r="K12" s="151"/>
      <c r="L12" s="151"/>
      <c r="M12" s="151"/>
      <c r="N12" s="151"/>
      <c r="O12" s="151"/>
      <c r="P12" s="151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9.9499999999999993" customHeight="1" x14ac:dyDescent="0.25">
      <c r="A13" s="120"/>
      <c r="B13" s="34"/>
      <c r="C13" s="28" t="s">
        <v>16</v>
      </c>
      <c r="D13" s="156" t="s">
        <v>65</v>
      </c>
      <c r="E13" s="157"/>
      <c r="F13" s="158"/>
      <c r="G13" s="32"/>
      <c r="H13" s="120"/>
      <c r="I13" s="120"/>
      <c r="J13" s="120"/>
      <c r="K13" s="120"/>
      <c r="L13" s="120"/>
      <c r="M13" s="120"/>
      <c r="N13" s="141" t="s">
        <v>16</v>
      </c>
      <c r="O13" s="142"/>
      <c r="P13" s="143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9.9499999999999993" customHeight="1" x14ac:dyDescent="0.25">
      <c r="A14" s="120"/>
      <c r="B14" s="34"/>
      <c r="C14" s="28" t="str">
        <f>VLOOKUP(Usage,ELEMENTS!I15:Q26,2,FALSE)</f>
        <v>Nombre de logements</v>
      </c>
      <c r="D14" s="166">
        <v>63</v>
      </c>
      <c r="E14" s="167"/>
      <c r="F14" s="168"/>
      <c r="G14" s="32"/>
      <c r="H14" s="120"/>
      <c r="I14" s="120"/>
      <c r="J14" s="120"/>
      <c r="K14" s="120"/>
      <c r="L14" s="120"/>
      <c r="M14" s="120"/>
      <c r="N14" s="135" t="s">
        <v>64</v>
      </c>
      <c r="O14" s="136"/>
      <c r="P14" s="137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9.9499999999999993" customHeight="1" x14ac:dyDescent="0.25">
      <c r="A15" s="120"/>
      <c r="B15" s="34"/>
      <c r="C15" s="28" t="s">
        <v>60</v>
      </c>
      <c r="D15" s="166">
        <v>3931.9</v>
      </c>
      <c r="E15" s="167"/>
      <c r="F15" s="168"/>
      <c r="G15" s="32"/>
      <c r="H15" s="120"/>
      <c r="I15" s="120"/>
      <c r="J15" s="120"/>
      <c r="K15" s="120"/>
      <c r="L15" s="120"/>
      <c r="M15" s="120"/>
      <c r="N15" s="144" t="s">
        <v>65</v>
      </c>
      <c r="O15" s="145"/>
      <c r="P15" s="146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8" customHeight="1" x14ac:dyDescent="0.25">
      <c r="A16" s="120"/>
      <c r="B16" s="34"/>
      <c r="C16" s="28" t="s">
        <v>160</v>
      </c>
      <c r="D16" s="166">
        <v>5400</v>
      </c>
      <c r="E16" s="167"/>
      <c r="F16" s="168"/>
      <c r="G16" s="32"/>
      <c r="H16" s="120"/>
      <c r="I16" s="120"/>
      <c r="J16" s="120"/>
      <c r="K16" s="120"/>
      <c r="L16" s="120"/>
      <c r="M16" s="120"/>
      <c r="N16" s="144" t="s">
        <v>93</v>
      </c>
      <c r="O16" s="145"/>
      <c r="P16" s="146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9.9499999999999993" customHeight="1" x14ac:dyDescent="0.25">
      <c r="A17" s="120"/>
      <c r="B17" s="34"/>
      <c r="C17" s="28" t="s">
        <v>161</v>
      </c>
      <c r="D17" s="166">
        <v>5400</v>
      </c>
      <c r="E17" s="167"/>
      <c r="F17" s="168"/>
      <c r="G17" s="32"/>
      <c r="H17" s="120"/>
      <c r="I17" s="120"/>
      <c r="J17" s="120"/>
      <c r="K17" s="120"/>
      <c r="L17" s="120"/>
      <c r="M17" s="120"/>
      <c r="N17" s="144" t="s">
        <v>92</v>
      </c>
      <c r="O17" s="145"/>
      <c r="P17" s="146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9.9499999999999993" customHeight="1" x14ac:dyDescent="0.25">
      <c r="A18" s="120"/>
      <c r="B18" s="34"/>
      <c r="C18" s="56"/>
      <c r="D18" s="169" t="s">
        <v>163</v>
      </c>
      <c r="E18" s="169"/>
      <c r="F18" s="169"/>
      <c r="G18" s="32"/>
      <c r="H18" s="190" t="s">
        <v>133</v>
      </c>
      <c r="I18" s="128"/>
      <c r="J18" s="120"/>
      <c r="K18" s="120"/>
      <c r="L18" s="120"/>
      <c r="M18" s="120"/>
      <c r="N18" s="144" t="s">
        <v>90</v>
      </c>
      <c r="O18" s="145"/>
      <c r="P18" s="146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9.9499999999999993" customHeight="1" x14ac:dyDescent="0.25">
      <c r="A19" s="120"/>
      <c r="B19" s="34"/>
      <c r="C19" s="28" t="s">
        <v>55</v>
      </c>
      <c r="D19" s="192">
        <v>3400</v>
      </c>
      <c r="E19" s="193"/>
      <c r="F19" s="194"/>
      <c r="G19" s="191" t="str">
        <f>IF(App_douche+App_sabot+App_standard+App_grande=SHON_sre,"","ERREUR Somme différente de la surface utile desservie")</f>
        <v/>
      </c>
      <c r="H19" s="190"/>
      <c r="I19" s="128"/>
      <c r="J19" s="120"/>
      <c r="K19" s="120"/>
      <c r="L19" s="120"/>
      <c r="M19" s="120"/>
      <c r="N19" s="144" t="s">
        <v>87</v>
      </c>
      <c r="O19" s="145"/>
      <c r="P19" s="146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9.9499999999999993" customHeight="1" x14ac:dyDescent="0.25">
      <c r="A20" s="120"/>
      <c r="B20" s="34"/>
      <c r="C20" s="28" t="s">
        <v>56</v>
      </c>
      <c r="D20" s="192">
        <v>0</v>
      </c>
      <c r="E20" s="193"/>
      <c r="F20" s="194"/>
      <c r="G20" s="191"/>
      <c r="H20" s="190"/>
      <c r="I20" s="128"/>
      <c r="J20" s="120"/>
      <c r="K20" s="120"/>
      <c r="L20" s="120"/>
      <c r="M20" s="120"/>
      <c r="N20" s="144" t="s">
        <v>88</v>
      </c>
      <c r="O20" s="145"/>
      <c r="P20" s="146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9.9499999999999993" customHeight="1" x14ac:dyDescent="0.25">
      <c r="A21" s="120"/>
      <c r="B21" s="34"/>
      <c r="C21" s="28" t="s">
        <v>57</v>
      </c>
      <c r="D21" s="192">
        <v>2000</v>
      </c>
      <c r="E21" s="193"/>
      <c r="F21" s="194"/>
      <c r="G21" s="191"/>
      <c r="H21" s="190"/>
      <c r="I21" s="128"/>
      <c r="J21" s="120"/>
      <c r="K21" s="120"/>
      <c r="L21" s="120"/>
      <c r="M21" s="120"/>
      <c r="N21" s="144" t="s">
        <v>89</v>
      </c>
      <c r="O21" s="145"/>
      <c r="P21" s="146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9.9499999999999993" customHeight="1" x14ac:dyDescent="0.25">
      <c r="A22" s="120"/>
      <c r="B22" s="34"/>
      <c r="C22" s="28" t="s">
        <v>58</v>
      </c>
      <c r="D22" s="192">
        <v>0</v>
      </c>
      <c r="E22" s="193"/>
      <c r="F22" s="194"/>
      <c r="G22" s="191"/>
      <c r="H22" s="190"/>
      <c r="I22" s="128"/>
      <c r="J22" s="120"/>
      <c r="K22" s="120"/>
      <c r="L22" s="120"/>
      <c r="M22" s="120"/>
      <c r="N22" s="144" t="s">
        <v>126</v>
      </c>
      <c r="O22" s="145"/>
      <c r="P22" s="146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x14ac:dyDescent="0.25">
      <c r="A23" s="120"/>
      <c r="B23" s="34"/>
      <c r="C23" s="28"/>
      <c r="D23" s="169" t="s">
        <v>159</v>
      </c>
      <c r="E23" s="169"/>
      <c r="F23" s="169"/>
      <c r="G23" s="32"/>
      <c r="H23" s="124"/>
      <c r="I23" s="124"/>
      <c r="J23" s="120"/>
      <c r="K23" s="120"/>
      <c r="L23" s="120"/>
      <c r="M23" s="120"/>
      <c r="N23" s="144" t="s">
        <v>127</v>
      </c>
      <c r="O23" s="145"/>
      <c r="P23" s="146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9.9499999999999993" customHeight="1" x14ac:dyDescent="0.25">
      <c r="A24" s="120"/>
      <c r="B24" s="34"/>
      <c r="C24" s="28"/>
      <c r="D24" s="188">
        <v>2</v>
      </c>
      <c r="E24" s="188"/>
      <c r="F24" s="188"/>
      <c r="G24" s="130"/>
      <c r="H24" s="124"/>
      <c r="I24" s="124"/>
      <c r="J24" s="120"/>
      <c r="K24" s="120"/>
      <c r="L24" s="120"/>
      <c r="M24" s="120"/>
      <c r="N24" s="144" t="s">
        <v>128</v>
      </c>
      <c r="O24" s="145"/>
      <c r="P24" s="146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9.9499999999999993" customHeight="1" thickBot="1" x14ac:dyDescent="0.3">
      <c r="A25" s="120"/>
      <c r="B25" s="34"/>
      <c r="C25" s="56"/>
      <c r="D25" s="169" t="s">
        <v>43</v>
      </c>
      <c r="E25" s="169"/>
      <c r="F25" s="169"/>
      <c r="G25" s="32"/>
      <c r="H25" s="122"/>
      <c r="I25" s="122"/>
      <c r="J25" s="120"/>
      <c r="K25" s="120"/>
      <c r="L25" s="120"/>
      <c r="M25" s="120"/>
      <c r="N25" s="147" t="s">
        <v>91</v>
      </c>
      <c r="O25" s="148"/>
      <c r="P25" s="149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28" ht="9.9499999999999993" customHeight="1" x14ac:dyDescent="0.25">
      <c r="A26" s="120"/>
      <c r="B26" s="34"/>
      <c r="C26" s="28" t="s">
        <v>52</v>
      </c>
      <c r="D26" s="186">
        <v>0</v>
      </c>
      <c r="E26" s="186" t="str">
        <f>IF(Em_melangeur+Em_mitigeur+Em_temporisateur=1,"","ERREUR Somme différente de 100%")</f>
        <v/>
      </c>
      <c r="F26" s="186"/>
      <c r="G26" s="189" t="str">
        <f>IF(Em_melangeur+Em_mitigeur+Em_temporisateur=1,"","ERREUR Somme différente de 100%")</f>
        <v/>
      </c>
      <c r="H26" s="122"/>
      <c r="I26" s="122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</row>
    <row r="27" spans="1:28" x14ac:dyDescent="0.25">
      <c r="A27" s="120"/>
      <c r="B27" s="34"/>
      <c r="C27" s="28" t="s">
        <v>108</v>
      </c>
      <c r="D27" s="186">
        <v>1</v>
      </c>
      <c r="E27" s="186"/>
      <c r="F27" s="186"/>
      <c r="G27" s="189"/>
      <c r="H27" s="122"/>
      <c r="I27" s="122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9.9499999999999993" customHeight="1" x14ac:dyDescent="0.25">
      <c r="A28" s="120"/>
      <c r="B28" s="34"/>
      <c r="C28" s="28" t="s">
        <v>109</v>
      </c>
      <c r="D28" s="186">
        <v>0</v>
      </c>
      <c r="E28" s="186"/>
      <c r="F28" s="186"/>
      <c r="G28" s="189"/>
      <c r="H28" s="122"/>
      <c r="I28" s="122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9.9499999999999993" customHeight="1" x14ac:dyDescent="0.25">
      <c r="A29" s="120"/>
      <c r="B29" s="34"/>
      <c r="C29" s="28"/>
      <c r="D29" s="169" t="s">
        <v>129</v>
      </c>
      <c r="E29" s="169"/>
      <c r="F29" s="169"/>
      <c r="G29" s="83"/>
      <c r="H29" s="122"/>
      <c r="I29" s="122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9.9499999999999993" customHeight="1" x14ac:dyDescent="0.25">
      <c r="A30" s="120"/>
      <c r="B30" s="34"/>
      <c r="C30" s="28" t="s">
        <v>122</v>
      </c>
      <c r="D30" s="185">
        <v>4</v>
      </c>
      <c r="E30" s="185"/>
      <c r="F30" s="185"/>
      <c r="G30" s="32"/>
      <c r="H30" s="187" t="s">
        <v>123</v>
      </c>
      <c r="I30" s="129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24.75" x14ac:dyDescent="0.25">
      <c r="A31" s="120"/>
      <c r="B31" s="34"/>
      <c r="C31" s="28" t="s">
        <v>168</v>
      </c>
      <c r="D31" s="185">
        <v>0</v>
      </c>
      <c r="E31" s="185"/>
      <c r="F31" s="185"/>
      <c r="G31" s="32"/>
      <c r="H31" s="187"/>
      <c r="I31" s="129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9.9499999999999993" customHeight="1" x14ac:dyDescent="0.25">
      <c r="A32" s="120"/>
      <c r="B32" s="34"/>
      <c r="C32" s="28" t="s">
        <v>124</v>
      </c>
      <c r="D32" s="185">
        <v>4</v>
      </c>
      <c r="E32" s="185"/>
      <c r="F32" s="185"/>
      <c r="G32" s="32"/>
      <c r="H32" s="122" t="s">
        <v>125</v>
      </c>
      <c r="I32" s="122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6" customHeight="1" thickBot="1" x14ac:dyDescent="0.3">
      <c r="A33" s="120"/>
      <c r="B33" s="35"/>
      <c r="C33" s="29"/>
      <c r="D33" s="153"/>
      <c r="E33" s="153"/>
      <c r="F33" s="153"/>
      <c r="G33" s="74"/>
      <c r="H33" s="122"/>
      <c r="I33" s="122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5" customHeight="1" x14ac:dyDescent="0.25">
      <c r="A34" s="120"/>
      <c r="B34" s="30" t="s">
        <v>98</v>
      </c>
      <c r="C34" s="77"/>
      <c r="D34" s="155"/>
      <c r="E34" s="155"/>
      <c r="F34" s="155"/>
      <c r="G34" s="31"/>
      <c r="H34" s="122"/>
      <c r="I34" s="122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6" customHeight="1" thickBot="1" x14ac:dyDescent="0.3">
      <c r="A35" s="120"/>
      <c r="B35" s="34"/>
      <c r="C35" s="56"/>
      <c r="D35" s="154"/>
      <c r="E35" s="154"/>
      <c r="F35" s="154"/>
      <c r="G35" s="32"/>
      <c r="H35" s="122"/>
      <c r="I35" s="122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9.9499999999999993" customHeight="1" x14ac:dyDescent="0.25">
      <c r="A36" s="120"/>
      <c r="B36" s="34"/>
      <c r="C36" s="28" t="s">
        <v>136</v>
      </c>
      <c r="D36" s="156" t="s">
        <v>105</v>
      </c>
      <c r="E36" s="157"/>
      <c r="F36" s="158"/>
      <c r="G36" s="189" t="str">
        <f>IF(Ctrans&lt;=1,"","ERREUR la valeur doit être inférieure à 100 %")</f>
        <v/>
      </c>
      <c r="H36" s="122"/>
      <c r="I36" s="122"/>
      <c r="J36" s="120"/>
      <c r="K36" s="120"/>
      <c r="L36" s="120"/>
      <c r="M36" s="120"/>
      <c r="N36" s="141" t="s">
        <v>107</v>
      </c>
      <c r="O36" s="142"/>
      <c r="P36" s="143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7.100000000000001" customHeight="1" x14ac:dyDescent="0.25">
      <c r="A37" s="120"/>
      <c r="B37" s="34"/>
      <c r="C37" s="88" t="s">
        <v>154</v>
      </c>
      <c r="D37" s="161">
        <v>0.93</v>
      </c>
      <c r="E37" s="161"/>
      <c r="F37" s="161"/>
      <c r="G37" s="189"/>
      <c r="H37" s="122" t="str">
        <f>CONCATENATE(G36,G26)</f>
        <v/>
      </c>
      <c r="I37" s="122"/>
      <c r="J37" s="120"/>
      <c r="K37" s="120"/>
      <c r="L37" s="120"/>
      <c r="M37" s="120"/>
      <c r="N37" s="135" t="s">
        <v>106</v>
      </c>
      <c r="O37" s="136"/>
      <c r="P37" s="137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9.9499999999999993" customHeight="1" x14ac:dyDescent="0.25">
      <c r="A38" s="120"/>
      <c r="B38" s="34"/>
      <c r="C38" s="28" t="s">
        <v>137</v>
      </c>
      <c r="D38" s="156" t="s">
        <v>105</v>
      </c>
      <c r="E38" s="157"/>
      <c r="F38" s="158"/>
      <c r="G38" s="189" t="str">
        <f>IF(Eff_nom&lt;=1,"","ERREUR la valeur doit être inférieure à 100 %")</f>
        <v/>
      </c>
      <c r="H38" s="122"/>
      <c r="I38" s="122"/>
      <c r="J38" s="120"/>
      <c r="K38" s="120"/>
      <c r="L38" s="120"/>
      <c r="M38" s="120"/>
      <c r="N38" s="135" t="s">
        <v>105</v>
      </c>
      <c r="O38" s="136"/>
      <c r="P38" s="137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7.100000000000001" customHeight="1" x14ac:dyDescent="0.25">
      <c r="A39" s="120"/>
      <c r="B39" s="34"/>
      <c r="C39" s="88" t="s">
        <v>132</v>
      </c>
      <c r="D39" s="186">
        <v>0.51</v>
      </c>
      <c r="E39" s="186"/>
      <c r="F39" s="186"/>
      <c r="G39" s="189"/>
      <c r="H39" s="122">
        <f>IF(H37="",1,"Une des données saisies n'est pas valide")</f>
        <v>1</v>
      </c>
      <c r="I39" s="122"/>
      <c r="J39" s="120"/>
      <c r="K39" s="120"/>
      <c r="L39" s="120"/>
      <c r="M39" s="120"/>
      <c r="N39" s="135" t="s">
        <v>104</v>
      </c>
      <c r="O39" s="136"/>
      <c r="P39" s="137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5.75" thickBot="1" x14ac:dyDescent="0.3">
      <c r="A40" s="120"/>
      <c r="B40" s="35"/>
      <c r="C40" s="29"/>
      <c r="D40" s="153"/>
      <c r="E40" s="153"/>
      <c r="F40" s="153"/>
      <c r="G40" s="83"/>
      <c r="H40" s="120"/>
      <c r="I40" s="120"/>
      <c r="J40" s="120"/>
      <c r="K40" s="120"/>
      <c r="L40" s="120"/>
      <c r="M40" s="120"/>
      <c r="N40" s="138" t="s">
        <v>131</v>
      </c>
      <c r="O40" s="139"/>
      <c r="P40" s="14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28" ht="15" customHeight="1" x14ac:dyDescent="0.25">
      <c r="A41" s="120"/>
      <c r="B41" s="30" t="s">
        <v>12</v>
      </c>
      <c r="C41" s="78"/>
      <c r="D41" s="155"/>
      <c r="E41" s="155"/>
      <c r="F41" s="155"/>
      <c r="G41" s="31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</row>
    <row r="42" spans="1:28" ht="6" customHeight="1" thickBot="1" x14ac:dyDescent="0.3">
      <c r="A42" s="120"/>
      <c r="B42" s="34"/>
      <c r="C42" s="56"/>
      <c r="D42" s="154"/>
      <c r="E42" s="154"/>
      <c r="F42" s="154"/>
      <c r="G42" s="32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</row>
    <row r="43" spans="1:28" ht="9.9499999999999993" customHeight="1" x14ac:dyDescent="0.25">
      <c r="A43" s="120"/>
      <c r="B43" s="34"/>
      <c r="C43" s="28" t="s">
        <v>11</v>
      </c>
      <c r="D43" s="156" t="s">
        <v>13</v>
      </c>
      <c r="E43" s="157"/>
      <c r="F43" s="158"/>
      <c r="G43" s="32"/>
      <c r="H43" s="120"/>
      <c r="I43" s="120"/>
      <c r="J43" s="120"/>
      <c r="K43" s="120"/>
      <c r="L43" s="120"/>
      <c r="M43" s="120"/>
      <c r="N43" s="141" t="s">
        <v>35</v>
      </c>
      <c r="O43" s="142"/>
      <c r="P43" s="143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</row>
    <row r="44" spans="1:28" ht="9.9499999999999993" customHeight="1" x14ac:dyDescent="0.25">
      <c r="A44" s="120"/>
      <c r="B44" s="34"/>
      <c r="C44" s="28" t="str">
        <f>VLOOKUP(Energie,ELEMENTS!I3:O11,2,FALSE)</f>
        <v>Saisir 100%</v>
      </c>
      <c r="D44" s="159">
        <v>100</v>
      </c>
      <c r="E44" s="159"/>
      <c r="F44" s="159"/>
      <c r="G44" s="32"/>
      <c r="H44" s="120"/>
      <c r="I44" s="120"/>
      <c r="J44" s="120"/>
      <c r="K44" s="120"/>
      <c r="L44" s="120"/>
      <c r="M44" s="120"/>
      <c r="N44" s="135" t="s">
        <v>120</v>
      </c>
      <c r="O44" s="136"/>
      <c r="P44" s="137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</row>
    <row r="45" spans="1:28" ht="15.75" thickBot="1" x14ac:dyDescent="0.3">
      <c r="A45" s="120"/>
      <c r="B45" s="35"/>
      <c r="C45" s="79"/>
      <c r="D45" s="153"/>
      <c r="E45" s="153"/>
      <c r="F45" s="153"/>
      <c r="G45" s="74"/>
      <c r="H45" s="120"/>
      <c r="I45" s="120"/>
      <c r="J45" s="120"/>
      <c r="K45" s="120"/>
      <c r="L45" s="120"/>
      <c r="M45" s="120"/>
      <c r="N45" s="135" t="s">
        <v>118</v>
      </c>
      <c r="O45" s="136"/>
      <c r="P45" s="137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</row>
    <row r="46" spans="1:28" ht="9.9499999999999993" customHeight="1" x14ac:dyDescent="0.25">
      <c r="A46" s="120"/>
      <c r="B46" s="30" t="s">
        <v>141</v>
      </c>
      <c r="C46" s="78"/>
      <c r="D46" s="155"/>
      <c r="E46" s="155"/>
      <c r="F46" s="155"/>
      <c r="G46" s="31"/>
      <c r="H46" s="120"/>
      <c r="I46" s="120"/>
      <c r="J46" s="120"/>
      <c r="K46" s="120"/>
      <c r="L46" s="120"/>
      <c r="M46" s="120"/>
      <c r="N46" s="135" t="s">
        <v>119</v>
      </c>
      <c r="O46" s="136"/>
      <c r="P46" s="137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</row>
    <row r="47" spans="1:28" ht="15.75" thickBot="1" x14ac:dyDescent="0.3">
      <c r="A47" s="120"/>
      <c r="B47" s="34"/>
      <c r="C47" s="56"/>
      <c r="D47" s="154"/>
      <c r="E47" s="154"/>
      <c r="F47" s="154"/>
      <c r="G47" s="32"/>
      <c r="H47" s="120"/>
      <c r="I47" s="120"/>
      <c r="J47" s="120"/>
      <c r="K47" s="120"/>
      <c r="L47" s="120"/>
      <c r="M47" s="120"/>
      <c r="N47" s="135" t="s">
        <v>14</v>
      </c>
      <c r="O47" s="136"/>
      <c r="P47" s="137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</row>
    <row r="48" spans="1:28" ht="16.5" x14ac:dyDescent="0.25">
      <c r="A48" s="120"/>
      <c r="B48" s="34"/>
      <c r="C48" s="28" t="s">
        <v>142</v>
      </c>
      <c r="D48" s="156" t="s">
        <v>143</v>
      </c>
      <c r="E48" s="157"/>
      <c r="F48" s="158"/>
      <c r="G48" s="32"/>
      <c r="H48" s="120"/>
      <c r="I48" s="120"/>
      <c r="J48" s="141" t="s">
        <v>141</v>
      </c>
      <c r="K48" s="142"/>
      <c r="L48" s="143"/>
      <c r="M48" s="120"/>
      <c r="N48" s="135" t="s">
        <v>15</v>
      </c>
      <c r="O48" s="136"/>
      <c r="P48" s="137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</row>
    <row r="49" spans="1:28" ht="9.9499999999999993" customHeight="1" x14ac:dyDescent="0.25">
      <c r="A49" s="120"/>
      <c r="B49" s="34"/>
      <c r="C49" s="28" t="s">
        <v>147</v>
      </c>
      <c r="D49" s="159">
        <v>0</v>
      </c>
      <c r="E49" s="159"/>
      <c r="F49" s="159"/>
      <c r="G49" s="32"/>
      <c r="H49" s="122" t="s">
        <v>151</v>
      </c>
      <c r="I49" s="122"/>
      <c r="J49" s="135" t="s">
        <v>143</v>
      </c>
      <c r="K49" s="136"/>
      <c r="L49" s="137"/>
      <c r="M49" s="120"/>
      <c r="N49" s="135" t="s">
        <v>49</v>
      </c>
      <c r="O49" s="136"/>
      <c r="P49" s="137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</row>
    <row r="50" spans="1:28" ht="9.9499999999999993" customHeight="1" thickBot="1" x14ac:dyDescent="0.3">
      <c r="A50" s="120"/>
      <c r="B50" s="35"/>
      <c r="C50" s="79"/>
      <c r="D50" s="153"/>
      <c r="E50" s="153"/>
      <c r="F50" s="153"/>
      <c r="G50" s="74"/>
      <c r="H50" s="120"/>
      <c r="I50" s="120"/>
      <c r="J50" s="135" t="s">
        <v>144</v>
      </c>
      <c r="K50" s="136"/>
      <c r="L50" s="137"/>
      <c r="M50" s="120"/>
      <c r="N50" s="135" t="s">
        <v>66</v>
      </c>
      <c r="O50" s="136"/>
      <c r="P50" s="137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</row>
    <row r="51" spans="1:28" ht="15.75" thickBot="1" x14ac:dyDescent="0.3">
      <c r="A51" s="120"/>
      <c r="B51" s="35"/>
      <c r="C51" s="79"/>
      <c r="D51" s="153"/>
      <c r="E51" s="153"/>
      <c r="F51" s="153"/>
      <c r="G51" s="74"/>
      <c r="H51" s="120"/>
      <c r="I51" s="120"/>
      <c r="J51" s="138" t="s">
        <v>145</v>
      </c>
      <c r="K51" s="139"/>
      <c r="L51" s="140"/>
      <c r="M51" s="120"/>
      <c r="N51" s="135" t="s">
        <v>13</v>
      </c>
      <c r="O51" s="136"/>
      <c r="P51" s="137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</row>
    <row r="52" spans="1:28" ht="9.9499999999999993" customHeight="1" thickBot="1" x14ac:dyDescent="0.3">
      <c r="A52" s="120"/>
      <c r="B52" s="112" t="s">
        <v>10</v>
      </c>
      <c r="C52" s="113"/>
      <c r="D52" s="160"/>
      <c r="E52" s="160"/>
      <c r="F52" s="160"/>
      <c r="G52" s="118"/>
      <c r="H52" s="120"/>
      <c r="I52" s="120"/>
      <c r="J52" s="120"/>
      <c r="K52" s="120"/>
      <c r="L52" s="120"/>
      <c r="M52" s="120"/>
      <c r="N52" s="138" t="s">
        <v>110</v>
      </c>
      <c r="O52" s="139"/>
      <c r="P52" s="14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</row>
    <row r="53" spans="1:28" ht="15" customHeight="1" thickBot="1" x14ac:dyDescent="0.3">
      <c r="A53" s="120"/>
      <c r="B53" s="114"/>
      <c r="C53" s="199" t="s">
        <v>99</v>
      </c>
      <c r="D53" s="200">
        <f>Gain</f>
        <v>24444.145238838424</v>
      </c>
      <c r="E53" s="201"/>
      <c r="F53" s="202"/>
      <c r="G53" s="118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</row>
    <row r="54" spans="1:28" ht="15" customHeight="1" thickBot="1" x14ac:dyDescent="0.3">
      <c r="A54" s="120"/>
      <c r="B54" s="115"/>
      <c r="C54" s="199"/>
      <c r="D54" s="162">
        <f>IF(CONCATENATE(G19,G36,G26,G38)="",(Gain*VLOOKUP(Energie,ELEMENTS!I3:O11,6,FALSE)-Qrelevage)/SHON,"Au moins une des données saisies n'est pas valide")</f>
        <v>4.5266935627478562</v>
      </c>
      <c r="E54" s="163"/>
      <c r="F54" s="164"/>
      <c r="G54" s="118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</row>
    <row r="55" spans="1:28" ht="15" customHeight="1" thickBot="1" x14ac:dyDescent="0.3">
      <c r="A55" s="120"/>
      <c r="B55" s="115"/>
      <c r="C55" s="131"/>
      <c r="D55" s="131"/>
      <c r="E55" s="131"/>
      <c r="F55" s="131"/>
      <c r="G55" s="118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</row>
    <row r="56" spans="1:28" ht="15" customHeight="1" thickBot="1" x14ac:dyDescent="0.3">
      <c r="A56" s="120"/>
      <c r="B56" s="115"/>
      <c r="C56" s="131" t="s">
        <v>165</v>
      </c>
      <c r="D56" s="162">
        <f>IF(CONCATENATE(G19,G36,G26,G38)="",1/(SHON)*MAX(0,'CALCULS Gain'!C30-'CALCULS Gain'!C34),"Au moins une des données saisies n'est pas valide")</f>
        <v>4.5266935627478562</v>
      </c>
      <c r="E56" s="163"/>
      <c r="F56" s="164"/>
      <c r="G56" s="118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</row>
    <row r="57" spans="1:28" ht="9.9499999999999993" customHeight="1" thickBot="1" x14ac:dyDescent="0.3">
      <c r="A57" s="120"/>
      <c r="B57" s="116"/>
      <c r="C57" s="117"/>
      <c r="D57" s="152"/>
      <c r="E57" s="152"/>
      <c r="F57" s="152"/>
      <c r="G57" s="119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</row>
    <row r="58" spans="1:28" x14ac:dyDescent="0.25">
      <c r="A58" s="120"/>
      <c r="B58" s="120"/>
      <c r="C58" s="121"/>
      <c r="D58" s="120"/>
      <c r="E58" s="120"/>
      <c r="F58" s="122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</row>
    <row r="59" spans="1:28" x14ac:dyDescent="0.25">
      <c r="A59" s="120"/>
      <c r="B59" s="120"/>
      <c r="C59" s="121"/>
      <c r="D59" s="120"/>
      <c r="E59" s="120"/>
      <c r="F59" s="122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</row>
    <row r="60" spans="1:28" x14ac:dyDescent="0.25">
      <c r="A60" s="120"/>
      <c r="B60" s="120"/>
      <c r="C60" s="121"/>
      <c r="D60" s="120"/>
      <c r="E60" s="120"/>
      <c r="F60" s="122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</row>
    <row r="61" spans="1:28" x14ac:dyDescent="0.25">
      <c r="A61" s="120"/>
      <c r="B61" s="120"/>
      <c r="C61" s="121"/>
      <c r="D61" s="120"/>
      <c r="E61" s="120"/>
      <c r="F61" s="122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</row>
    <row r="62" spans="1:28" x14ac:dyDescent="0.25">
      <c r="A62" s="120"/>
      <c r="B62" s="120"/>
      <c r="C62" s="121"/>
      <c r="D62" s="120"/>
      <c r="E62" s="120"/>
      <c r="F62" s="122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</row>
    <row r="63" spans="1:28" x14ac:dyDescent="0.25">
      <c r="A63" s="120"/>
      <c r="B63" s="120"/>
      <c r="C63" s="121"/>
      <c r="D63" s="120"/>
      <c r="E63" s="120"/>
      <c r="F63" s="122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</row>
    <row r="64" spans="1:28" x14ac:dyDescent="0.25">
      <c r="A64" s="120"/>
      <c r="B64" s="120"/>
      <c r="C64" s="121"/>
      <c r="D64" s="120"/>
      <c r="E64" s="120"/>
      <c r="F64" s="122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</row>
    <row r="65" spans="1:28" x14ac:dyDescent="0.25">
      <c r="A65" s="120"/>
      <c r="B65" s="120"/>
      <c r="C65" s="121"/>
      <c r="D65" s="120"/>
      <c r="E65" s="120"/>
      <c r="F65" s="122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</row>
    <row r="66" spans="1:28" x14ac:dyDescent="0.25">
      <c r="A66" s="120"/>
      <c r="B66" s="120"/>
      <c r="C66" s="121"/>
      <c r="D66" s="120"/>
      <c r="E66" s="120"/>
      <c r="F66" s="122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</row>
    <row r="67" spans="1:28" x14ac:dyDescent="0.25">
      <c r="A67" s="120"/>
      <c r="B67" s="120"/>
      <c r="C67" s="121"/>
      <c r="D67" s="120"/>
      <c r="E67" s="120"/>
      <c r="F67" s="122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</row>
    <row r="68" spans="1:28" x14ac:dyDescent="0.25">
      <c r="A68" s="120"/>
      <c r="B68" s="120"/>
      <c r="C68" s="121"/>
      <c r="D68" s="120"/>
      <c r="E68" s="120"/>
      <c r="F68" s="122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</row>
    <row r="69" spans="1:28" x14ac:dyDescent="0.25">
      <c r="A69" s="120"/>
      <c r="B69" s="120"/>
      <c r="C69" s="121"/>
      <c r="D69" s="120"/>
      <c r="E69" s="120"/>
      <c r="F69" s="122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</row>
    <row r="70" spans="1:28" x14ac:dyDescent="0.25">
      <c r="A70" s="120"/>
      <c r="B70" s="120"/>
      <c r="C70" s="121"/>
      <c r="D70" s="120"/>
      <c r="E70" s="120"/>
      <c r="F70" s="122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</row>
    <row r="71" spans="1:28" x14ac:dyDescent="0.25">
      <c r="A71" s="120"/>
      <c r="B71" s="120"/>
      <c r="C71" s="121"/>
      <c r="D71" s="120"/>
      <c r="E71" s="120"/>
      <c r="F71" s="122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</row>
    <row r="72" spans="1:28" x14ac:dyDescent="0.25">
      <c r="A72" s="120"/>
      <c r="B72" s="120"/>
      <c r="C72" s="121"/>
      <c r="D72" s="120"/>
      <c r="E72" s="120"/>
      <c r="F72" s="122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</row>
    <row r="73" spans="1:28" x14ac:dyDescent="0.25">
      <c r="A73" s="120"/>
      <c r="B73" s="120"/>
      <c r="C73" s="121"/>
      <c r="D73" s="120"/>
      <c r="E73" s="120"/>
      <c r="F73" s="122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</row>
    <row r="74" spans="1:28" x14ac:dyDescent="0.25">
      <c r="A74" s="120"/>
    </row>
  </sheetData>
  <sheetProtection algorithmName="SHA-512" hashValue="giOICspw/v1O3AswEDglihokCK/WUp8lTdkCMmJkOvam1ljC9fbb0CG5oHHj4XZnWT/3ZcK1w6FHmwgOrc5m8w==" saltValue="nHNt+A+D/ipwoBwqRCDEQw==" spinCount="100000" sheet="1" objects="1" scenarios="1"/>
  <mergeCells count="101">
    <mergeCell ref="G36:G37"/>
    <mergeCell ref="G38:G39"/>
    <mergeCell ref="J6:K6"/>
    <mergeCell ref="J7:K8"/>
    <mergeCell ref="J9:K10"/>
    <mergeCell ref="J5:L5"/>
    <mergeCell ref="L7:L8"/>
    <mergeCell ref="L9:L10"/>
    <mergeCell ref="C53:C54"/>
    <mergeCell ref="D39:F39"/>
    <mergeCell ref="D20:F20"/>
    <mergeCell ref="D21:F21"/>
    <mergeCell ref="D22:F22"/>
    <mergeCell ref="D25:F25"/>
    <mergeCell ref="D53:F53"/>
    <mergeCell ref="D30:F30"/>
    <mergeCell ref="D31:F31"/>
    <mergeCell ref="D36:F36"/>
    <mergeCell ref="D45:F45"/>
    <mergeCell ref="D46:F46"/>
    <mergeCell ref="D47:F47"/>
    <mergeCell ref="D48:F48"/>
    <mergeCell ref="D54:F54"/>
    <mergeCell ref="D23:F23"/>
    <mergeCell ref="D32:F32"/>
    <mergeCell ref="D26:F26"/>
    <mergeCell ref="D27:F27"/>
    <mergeCell ref="D28:F28"/>
    <mergeCell ref="H30:H31"/>
    <mergeCell ref="D29:F29"/>
    <mergeCell ref="D24:F24"/>
    <mergeCell ref="G26:G28"/>
    <mergeCell ref="D12:F12"/>
    <mergeCell ref="H18:H22"/>
    <mergeCell ref="G19:G22"/>
    <mergeCell ref="D19:F19"/>
    <mergeCell ref="D11:F11"/>
    <mergeCell ref="D15:F15"/>
    <mergeCell ref="D17:F17"/>
    <mergeCell ref="D18:F18"/>
    <mergeCell ref="D14:F14"/>
    <mergeCell ref="D13:F13"/>
    <mergeCell ref="B2:G2"/>
    <mergeCell ref="B4:G4"/>
    <mergeCell ref="B3:E3"/>
    <mergeCell ref="B5:G5"/>
    <mergeCell ref="D6:F6"/>
    <mergeCell ref="D16:F16"/>
    <mergeCell ref="D7:F7"/>
    <mergeCell ref="D8:F8"/>
    <mergeCell ref="D9:F9"/>
    <mergeCell ref="D10:F10"/>
    <mergeCell ref="D57:F57"/>
    <mergeCell ref="D33:F33"/>
    <mergeCell ref="D35:F35"/>
    <mergeCell ref="D40:F40"/>
    <mergeCell ref="D51:F51"/>
    <mergeCell ref="D42:F42"/>
    <mergeCell ref="D41:F41"/>
    <mergeCell ref="D38:F38"/>
    <mergeCell ref="D43:F43"/>
    <mergeCell ref="D44:F44"/>
    <mergeCell ref="D52:F52"/>
    <mergeCell ref="D34:F34"/>
    <mergeCell ref="D50:F50"/>
    <mergeCell ref="D49:F49"/>
    <mergeCell ref="D37:F37"/>
    <mergeCell ref="D56:F56"/>
    <mergeCell ref="N23:P23"/>
    <mergeCell ref="N24:P24"/>
    <mergeCell ref="N25:P25"/>
    <mergeCell ref="H12:P12"/>
    <mergeCell ref="N36:P36"/>
    <mergeCell ref="N18:P18"/>
    <mergeCell ref="N19:P19"/>
    <mergeCell ref="N20:P20"/>
    <mergeCell ref="N21:P21"/>
    <mergeCell ref="N22:P22"/>
    <mergeCell ref="N13:P13"/>
    <mergeCell ref="N14:P14"/>
    <mergeCell ref="N15:P15"/>
    <mergeCell ref="N16:P16"/>
    <mergeCell ref="N17:P17"/>
    <mergeCell ref="N37:P37"/>
    <mergeCell ref="N38:P38"/>
    <mergeCell ref="N39:P39"/>
    <mergeCell ref="N40:P40"/>
    <mergeCell ref="N43:P43"/>
    <mergeCell ref="N44:P44"/>
    <mergeCell ref="N45:P45"/>
    <mergeCell ref="N46:P46"/>
    <mergeCell ref="N47:P47"/>
    <mergeCell ref="N48:P48"/>
    <mergeCell ref="N49:P49"/>
    <mergeCell ref="N50:P50"/>
    <mergeCell ref="N51:P51"/>
    <mergeCell ref="N52:P52"/>
    <mergeCell ref="J48:L48"/>
    <mergeCell ref="J49:L49"/>
    <mergeCell ref="J50:L50"/>
    <mergeCell ref="J51:L51"/>
  </mergeCells>
  <conditionalFormatting sqref="D37:F37">
    <cfRule type="expression" dxfId="4" priority="6">
      <formula>$D$36="Valeur par défaut"</formula>
    </cfRule>
  </conditionalFormatting>
  <conditionalFormatting sqref="D39:F39">
    <cfRule type="expression" dxfId="3" priority="5">
      <formula>$D$38="Valeur par défaut"</formula>
    </cfRule>
  </conditionalFormatting>
  <conditionalFormatting sqref="G19:G22 G40 G36">
    <cfRule type="cellIs" dxfId="2" priority="4" operator="greaterThan">
      <formula>""""""</formula>
    </cfRule>
  </conditionalFormatting>
  <conditionalFormatting sqref="G38">
    <cfRule type="cellIs" dxfId="1" priority="2" operator="greaterThan">
      <formula>""""""</formula>
    </cfRule>
  </conditionalFormatting>
  <conditionalFormatting sqref="G26:G28">
    <cfRule type="cellIs" dxfId="0" priority="1" operator="greaterThan">
      <formula>""""""</formula>
    </cfRule>
  </conditionalFormatting>
  <dataValidations count="4">
    <dataValidation allowBlank="1" showInputMessage="1" showErrorMessage="1" errorTitle="Département" error="Compris entre 1 et 95" sqref="D53" xr:uid="{00000000-0002-0000-0000-000000000000}"/>
    <dataValidation type="decimal" operator="greaterThanOrEqual" allowBlank="1" showInputMessage="1" showErrorMessage="1" sqref="D40 D50:D51 D33 D10 D45" xr:uid="{00000000-0002-0000-0000-000001000000}">
      <formula1>0</formula1>
    </dataValidation>
    <dataValidation type="decimal" operator="greaterThanOrEqual" allowBlank="1" showInputMessage="1" showErrorMessage="1" errorTitle="Surfaces" error="Ne peut être nulle" sqref="D17" xr:uid="{00000000-0002-0000-0000-000002000000}">
      <formula1>1</formula1>
    </dataValidation>
    <dataValidation allowBlank="1" showInputMessage="1" errorTitle="Département" error="Compris entre 1 et 95" sqref="D9" xr:uid="{00000000-0002-0000-0000-000003000000}"/>
  </dataValidations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4000000}">
          <x14:formula1>
            <xm:f>ELEMENTS!$B$3:$B$98</xm:f>
          </x14:formula1>
          <xm:sqref>D8:F8</xm:sqref>
        </x14:dataValidation>
        <x14:dataValidation type="list" allowBlank="1" showInputMessage="1" showErrorMessage="1" xr:uid="{00000000-0002-0000-0000-000005000000}">
          <x14:formula1>
            <xm:f>ELEMENTS!$I$15:$I$26</xm:f>
          </x14:formula1>
          <xm:sqref>D13:F13</xm:sqref>
        </x14:dataValidation>
        <x14:dataValidation type="list" allowBlank="1" showInputMessage="1" showErrorMessage="1" xr:uid="{00000000-0002-0000-0000-000006000000}">
          <x14:formula1>
            <xm:f>ELEMENTS!$E$23:$E$26</xm:f>
          </x14:formula1>
          <xm:sqref>D36:F36 D38:F38</xm:sqref>
        </x14:dataValidation>
        <x14:dataValidation type="list" allowBlank="1" showInputMessage="1" showErrorMessage="1" xr:uid="{00000000-0002-0000-0000-000007000000}">
          <x14:formula1>
            <xm:f>ELEMENTS!$I$3:$I$11</xm:f>
          </x14:formula1>
          <xm:sqref>D43:F43</xm:sqref>
        </x14:dataValidation>
        <x14:dataValidation type="list" allowBlank="1" showInputMessage="1" showErrorMessage="1" xr:uid="{00000000-0002-0000-0000-000008000000}">
          <x14:formula1>
            <xm:f>ELEMENTS!$E$29:$E$31</xm:f>
          </x14:formula1>
          <xm:sqref>D48:F48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B1:S98"/>
  <sheetViews>
    <sheetView topLeftCell="A64" zoomScaleNormal="100" workbookViewId="0">
      <selection activeCell="F16" sqref="F16:G16"/>
    </sheetView>
  </sheetViews>
  <sheetFormatPr baseColWidth="10" defaultRowHeight="15" x14ac:dyDescent="0.25"/>
  <cols>
    <col min="1" max="1" width="3.7109375" style="1" customWidth="1"/>
    <col min="2" max="2" width="11.42578125" style="1"/>
    <col min="3" max="3" width="11.42578125" style="1" customWidth="1"/>
    <col min="4" max="4" width="5" style="1" customWidth="1"/>
    <col min="5" max="5" width="64.85546875" style="1" bestFit="1" customWidth="1"/>
    <col min="6" max="6" width="22" style="1" customWidth="1"/>
    <col min="7" max="7" width="16.140625" style="1" customWidth="1"/>
    <col min="8" max="8" width="9.140625" style="1" customWidth="1"/>
    <col min="9" max="9" width="51.140625" style="1" customWidth="1"/>
    <col min="10" max="10" width="31.140625" style="1" bestFit="1" customWidth="1"/>
    <col min="11" max="11" width="9.5703125" style="1" bestFit="1" customWidth="1"/>
    <col min="12" max="12" width="16.7109375" style="1" bestFit="1" customWidth="1"/>
    <col min="13" max="13" width="12.5703125" style="1" bestFit="1" customWidth="1"/>
    <col min="14" max="17" width="15.7109375" style="1" customWidth="1"/>
    <col min="18" max="18" width="17.28515625" style="1" bestFit="1" customWidth="1"/>
    <col min="19" max="19" width="23.42578125" style="1" bestFit="1" customWidth="1"/>
    <col min="20" max="16384" width="11.42578125" style="1"/>
  </cols>
  <sheetData>
    <row r="1" spans="2:19" ht="16.5" customHeight="1" x14ac:dyDescent="0.25">
      <c r="I1" s="1">
        <v>1</v>
      </c>
      <c r="J1" s="1">
        <v>2</v>
      </c>
      <c r="K1" s="1">
        <v>3</v>
      </c>
      <c r="L1" s="1">
        <v>4</v>
      </c>
      <c r="M1" s="1">
        <v>5</v>
      </c>
      <c r="N1" s="1">
        <v>6</v>
      </c>
      <c r="O1" s="1">
        <v>7</v>
      </c>
      <c r="P1" s="1">
        <v>8</v>
      </c>
      <c r="Q1" s="1">
        <v>9</v>
      </c>
      <c r="R1" s="1">
        <v>10</v>
      </c>
      <c r="S1" s="1">
        <v>11</v>
      </c>
    </row>
    <row r="2" spans="2:19" x14ac:dyDescent="0.25">
      <c r="B2" s="14" t="s">
        <v>21</v>
      </c>
      <c r="C2" s="14" t="s">
        <v>22</v>
      </c>
      <c r="D2" s="12"/>
      <c r="E2" s="18" t="s">
        <v>46</v>
      </c>
      <c r="F2" s="27" t="s">
        <v>34</v>
      </c>
      <c r="G2" s="27" t="s">
        <v>116</v>
      </c>
      <c r="I2" s="21" t="s">
        <v>35</v>
      </c>
      <c r="J2" s="22" t="s">
        <v>67</v>
      </c>
      <c r="K2" s="27" t="s">
        <v>86</v>
      </c>
      <c r="L2" s="15" t="s">
        <v>44</v>
      </c>
      <c r="M2" s="15" t="s">
        <v>36</v>
      </c>
      <c r="N2" s="15" t="s">
        <v>37</v>
      </c>
      <c r="O2" s="19" t="s">
        <v>62</v>
      </c>
    </row>
    <row r="3" spans="2:19" x14ac:dyDescent="0.25">
      <c r="B3" s="3">
        <v>1</v>
      </c>
      <c r="C3" s="4" t="s">
        <v>23</v>
      </c>
      <c r="D3" s="13"/>
      <c r="E3" s="10" t="s">
        <v>55</v>
      </c>
      <c r="F3" s="16">
        <v>0.05</v>
      </c>
      <c r="G3" s="71">
        <f>App_douche</f>
        <v>3400</v>
      </c>
      <c r="I3" s="11" t="s">
        <v>120</v>
      </c>
      <c r="J3" s="2" t="s">
        <v>38</v>
      </c>
      <c r="K3" s="20">
        <v>0.91</v>
      </c>
      <c r="L3" s="16">
        <f>IF(I3=Energie,TITREV!$D$44*O3,0)</f>
        <v>0</v>
      </c>
      <c r="M3" s="82">
        <f>K3*L3</f>
        <v>0</v>
      </c>
      <c r="N3" s="7">
        <v>1</v>
      </c>
      <c r="O3" s="5">
        <v>0.01</v>
      </c>
    </row>
    <row r="4" spans="2:19" x14ac:dyDescent="0.25">
      <c r="B4" s="3">
        <v>2</v>
      </c>
      <c r="C4" s="4" t="s">
        <v>24</v>
      </c>
      <c r="D4" s="13"/>
      <c r="E4" s="10" t="s">
        <v>56</v>
      </c>
      <c r="F4" s="16">
        <v>2.5000000000000001E-2</v>
      </c>
      <c r="G4" s="71">
        <f>App_sabot</f>
        <v>0</v>
      </c>
      <c r="I4" s="11" t="s">
        <v>118</v>
      </c>
      <c r="J4" s="2" t="s">
        <v>38</v>
      </c>
      <c r="K4" s="20">
        <v>0.86</v>
      </c>
      <c r="L4" s="16">
        <f>IF(I4=Energie,TITREV!$D$44*O4,0)</f>
        <v>0</v>
      </c>
      <c r="M4" s="82">
        <f>K4*L4</f>
        <v>0</v>
      </c>
      <c r="N4" s="7">
        <v>1</v>
      </c>
      <c r="O4" s="5">
        <v>0.01</v>
      </c>
    </row>
    <row r="5" spans="2:19" x14ac:dyDescent="0.25">
      <c r="B5" s="3">
        <v>3</v>
      </c>
      <c r="C5" s="4" t="s">
        <v>23</v>
      </c>
      <c r="D5" s="13"/>
      <c r="E5" s="10" t="s">
        <v>57</v>
      </c>
      <c r="F5" s="16">
        <v>0</v>
      </c>
      <c r="G5" s="71">
        <f>App_standard</f>
        <v>2000</v>
      </c>
      <c r="I5" s="11" t="s">
        <v>119</v>
      </c>
      <c r="J5" s="2" t="s">
        <v>38</v>
      </c>
      <c r="K5" s="20">
        <v>0.93</v>
      </c>
      <c r="L5" s="16">
        <f>IF(I5=Energie,TITREV!$D$44*O5,0)</f>
        <v>0</v>
      </c>
      <c r="M5" s="82">
        <f>K5*L5</f>
        <v>0</v>
      </c>
      <c r="N5" s="7">
        <v>1</v>
      </c>
      <c r="O5" s="5">
        <v>0.01</v>
      </c>
    </row>
    <row r="6" spans="2:19" x14ac:dyDescent="0.25">
      <c r="B6" s="3">
        <v>4</v>
      </c>
      <c r="C6" s="4" t="s">
        <v>25</v>
      </c>
      <c r="D6" s="13"/>
      <c r="E6" s="10" t="s">
        <v>58</v>
      </c>
      <c r="F6" s="16">
        <v>-2.5000000000000001E-2</v>
      </c>
      <c r="G6" s="71">
        <f>App_grande</f>
        <v>0</v>
      </c>
      <c r="I6" s="11" t="s">
        <v>14</v>
      </c>
      <c r="J6" s="5" t="s">
        <v>45</v>
      </c>
      <c r="K6" s="20">
        <v>1</v>
      </c>
      <c r="L6" s="16">
        <v>1</v>
      </c>
      <c r="M6" s="82">
        <f t="shared" ref="M6:M11" si="0">K6*L6</f>
        <v>1</v>
      </c>
      <c r="N6" s="7">
        <v>2.58</v>
      </c>
      <c r="O6" s="2">
        <v>0.01</v>
      </c>
    </row>
    <row r="7" spans="2:19" x14ac:dyDescent="0.25">
      <c r="B7" s="3">
        <v>5</v>
      </c>
      <c r="C7" s="4" t="s">
        <v>23</v>
      </c>
      <c r="D7" s="13"/>
      <c r="E7" s="10" t="s">
        <v>102</v>
      </c>
      <c r="F7" s="205">
        <f>SUMPRODUCT(F3:F6,G3:G6)/SUM(G3:G6)</f>
        <v>3.1481481481481478E-2</v>
      </c>
      <c r="G7" s="205"/>
      <c r="I7" s="11" t="s">
        <v>15</v>
      </c>
      <c r="J7" s="2" t="s">
        <v>38</v>
      </c>
      <c r="K7" s="20">
        <v>0.9</v>
      </c>
      <c r="L7" s="16">
        <f>IF(I7=Energie,TITREV!$D$44*O7,0)</f>
        <v>0</v>
      </c>
      <c r="M7" s="82">
        <f>K7*L7</f>
        <v>0</v>
      </c>
      <c r="N7" s="7">
        <v>1</v>
      </c>
      <c r="O7" s="2">
        <v>0.01</v>
      </c>
    </row>
    <row r="8" spans="2:19" ht="15.75" customHeight="1" x14ac:dyDescent="0.25">
      <c r="B8" s="3">
        <v>6</v>
      </c>
      <c r="C8" s="4" t="s">
        <v>26</v>
      </c>
      <c r="D8" s="13"/>
      <c r="I8" s="10" t="s">
        <v>49</v>
      </c>
      <c r="J8" s="5" t="s">
        <v>61</v>
      </c>
      <c r="K8" s="20">
        <v>0.68</v>
      </c>
      <c r="L8" s="16">
        <f>IF(I8=Energie,TITREV!$D$44*O8,0)</f>
        <v>0</v>
      </c>
      <c r="M8" s="82">
        <f>K8*L8</f>
        <v>0</v>
      </c>
      <c r="N8" s="8">
        <v>2.58</v>
      </c>
      <c r="O8" s="2">
        <v>1</v>
      </c>
    </row>
    <row r="9" spans="2:19" x14ac:dyDescent="0.25">
      <c r="B9" s="3">
        <v>7</v>
      </c>
      <c r="C9" s="4" t="s">
        <v>25</v>
      </c>
      <c r="D9" s="13"/>
      <c r="E9" s="18" t="s">
        <v>47</v>
      </c>
      <c r="F9" s="27" t="s">
        <v>34</v>
      </c>
      <c r="G9" s="27" t="s">
        <v>101</v>
      </c>
      <c r="I9" s="10" t="s">
        <v>66</v>
      </c>
      <c r="J9" s="5" t="s">
        <v>61</v>
      </c>
      <c r="K9" s="20">
        <v>0.63</v>
      </c>
      <c r="L9" s="16">
        <f>IF(I9=Energie,TITREV!$D$44*O9,0)</f>
        <v>0</v>
      </c>
      <c r="M9" s="82">
        <f t="shared" si="0"/>
        <v>0</v>
      </c>
      <c r="N9" s="8">
        <v>2.58</v>
      </c>
      <c r="O9" s="5">
        <v>1</v>
      </c>
    </row>
    <row r="10" spans="2:19" x14ac:dyDescent="0.25">
      <c r="B10" s="3">
        <v>8</v>
      </c>
      <c r="C10" s="4" t="s">
        <v>27</v>
      </c>
      <c r="D10" s="13"/>
      <c r="E10" s="11" t="s">
        <v>52</v>
      </c>
      <c r="F10" s="6">
        <v>0</v>
      </c>
      <c r="G10" s="6">
        <f>Em_melangeur</f>
        <v>0</v>
      </c>
      <c r="I10" s="11" t="s">
        <v>13</v>
      </c>
      <c r="J10" s="5" t="s">
        <v>45</v>
      </c>
      <c r="K10" s="20">
        <v>0.98</v>
      </c>
      <c r="L10" s="16">
        <v>1</v>
      </c>
      <c r="M10" s="82">
        <f t="shared" si="0"/>
        <v>0.98</v>
      </c>
      <c r="N10" s="7">
        <v>1</v>
      </c>
      <c r="O10" s="5">
        <v>0.01</v>
      </c>
    </row>
    <row r="11" spans="2:19" x14ac:dyDescent="0.25">
      <c r="B11" s="3">
        <v>9</v>
      </c>
      <c r="C11" s="4" t="s">
        <v>28</v>
      </c>
      <c r="D11" s="13"/>
      <c r="E11" s="11" t="s">
        <v>53</v>
      </c>
      <c r="F11" s="6">
        <v>0.05</v>
      </c>
      <c r="G11" s="6">
        <f>Em_mitigeur</f>
        <v>1</v>
      </c>
      <c r="I11" s="10" t="s">
        <v>110</v>
      </c>
      <c r="J11" s="5" t="s">
        <v>117</v>
      </c>
      <c r="K11" s="20">
        <v>1</v>
      </c>
      <c r="L11" s="16">
        <f>IF(I11=Energie,TITREV!$D$44*O11,0)</f>
        <v>0</v>
      </c>
      <c r="M11" s="82">
        <f t="shared" si="0"/>
        <v>0</v>
      </c>
      <c r="N11" s="5">
        <v>2.58</v>
      </c>
      <c r="O11" s="5">
        <v>1</v>
      </c>
    </row>
    <row r="12" spans="2:19" x14ac:dyDescent="0.25">
      <c r="B12" s="3">
        <v>10</v>
      </c>
      <c r="C12" s="4" t="s">
        <v>27</v>
      </c>
      <c r="D12" s="13"/>
      <c r="E12" s="11" t="s">
        <v>54</v>
      </c>
      <c r="F12" s="54">
        <v>7.0000000000000007E-2</v>
      </c>
      <c r="G12" s="6">
        <f>Em_temporisateur</f>
        <v>0</v>
      </c>
      <c r="I12" s="57"/>
      <c r="J12" s="58"/>
      <c r="K12" s="58"/>
      <c r="L12" s="58"/>
    </row>
    <row r="13" spans="2:19" x14ac:dyDescent="0.25">
      <c r="B13" s="3">
        <v>11</v>
      </c>
      <c r="C13" s="4" t="s">
        <v>26</v>
      </c>
      <c r="D13" s="13"/>
      <c r="E13" s="10" t="s">
        <v>103</v>
      </c>
      <c r="F13" s="206">
        <f>SUMPRODUCT(F10:F12,G10:G12)/SUM(G10:G12)</f>
        <v>0.05</v>
      </c>
      <c r="G13" s="207"/>
      <c r="I13" s="60"/>
      <c r="J13" s="60"/>
      <c r="K13" s="60"/>
      <c r="L13" s="60"/>
      <c r="M13" s="60"/>
      <c r="N13" s="61" t="s">
        <v>55</v>
      </c>
      <c r="O13" s="61" t="s">
        <v>56</v>
      </c>
      <c r="P13" s="61" t="s">
        <v>57</v>
      </c>
      <c r="Q13" s="61" t="s">
        <v>58</v>
      </c>
      <c r="R13" s="37" t="s">
        <v>100</v>
      </c>
      <c r="S13" s="91">
        <f>VLOOKUP(Usage,ELEMENTS!I15:S26,11,FALSE)</f>
        <v>49</v>
      </c>
    </row>
    <row r="14" spans="2:19" x14ac:dyDescent="0.25">
      <c r="B14" s="3">
        <v>12</v>
      </c>
      <c r="C14" s="4" t="s">
        <v>28</v>
      </c>
      <c r="D14" s="13"/>
      <c r="I14" s="62" t="s">
        <v>112</v>
      </c>
      <c r="J14" s="63" t="s">
        <v>4</v>
      </c>
      <c r="K14" s="62" t="s">
        <v>73</v>
      </c>
      <c r="L14" s="62" t="s">
        <v>3</v>
      </c>
      <c r="M14" s="62" t="s">
        <v>68</v>
      </c>
      <c r="N14" s="203" t="s">
        <v>33</v>
      </c>
      <c r="O14" s="203"/>
      <c r="P14" s="203"/>
      <c r="Q14" s="203"/>
      <c r="R14" s="52" t="s">
        <v>121</v>
      </c>
      <c r="S14" s="87" t="s">
        <v>130</v>
      </c>
    </row>
    <row r="15" spans="2:19" ht="15" customHeight="1" x14ac:dyDescent="0.25">
      <c r="B15" s="3">
        <v>13</v>
      </c>
      <c r="C15" s="4" t="s">
        <v>26</v>
      </c>
      <c r="D15" s="13"/>
      <c r="E15" s="51" t="s">
        <v>79</v>
      </c>
      <c r="F15" s="33" t="s">
        <v>80</v>
      </c>
      <c r="G15" s="33" t="s">
        <v>84</v>
      </c>
      <c r="I15" s="64" t="s">
        <v>64</v>
      </c>
      <c r="J15" s="65" t="s">
        <v>59</v>
      </c>
      <c r="K15" s="41">
        <f>IF(L15&lt;1.75,Nb*L15,Nb*(1.75+0.3*(L15-1.75)))</f>
        <v>101.285625</v>
      </c>
      <c r="L15" s="61">
        <f>IF(SU/Nb&lt;30,1,IF(SU/Nb&lt;70,1.75-0.01875*(70-SU/Nb),0.025*SU/Nb))</f>
        <v>1.6077083333333333</v>
      </c>
      <c r="M15" s="61">
        <f>MIN(500,40*SU/K15)</f>
        <v>500</v>
      </c>
      <c r="N15" s="66">
        <v>0.8</v>
      </c>
      <c r="O15" s="66">
        <v>0.66</v>
      </c>
      <c r="P15" s="65">
        <f>O15</f>
        <v>0.66</v>
      </c>
      <c r="Q15" s="65">
        <f>P15</f>
        <v>0.66</v>
      </c>
      <c r="R15" s="53">
        <f t="shared" ref="R15:R26" si="1">(N15*App_douche+O15*App_sabot+P15*App_standard+Q15*App_grande)/SHON</f>
        <v>0.74814814814814812</v>
      </c>
      <c r="S15" s="89">
        <f>52-3</f>
        <v>49</v>
      </c>
    </row>
    <row r="16" spans="2:19" x14ac:dyDescent="0.25">
      <c r="B16" s="3">
        <v>14</v>
      </c>
      <c r="C16" s="4" t="s">
        <v>24</v>
      </c>
      <c r="D16" s="13"/>
      <c r="E16" s="24" t="s">
        <v>81</v>
      </c>
      <c r="F16" s="204">
        <v>1.6000000000000001E-3</v>
      </c>
      <c r="G16" s="204"/>
      <c r="I16" s="64" t="s">
        <v>65</v>
      </c>
      <c r="J16" s="61" t="s">
        <v>63</v>
      </c>
      <c r="K16" s="41">
        <f>IF(L16&lt;1.75,Nb*L16,Nb*(1.75+0.3*(L16-1.75)))</f>
        <v>118.45995000000001</v>
      </c>
      <c r="L16" s="61">
        <f>IF(SU/Nb&lt;10,1,IF(SU/Nb&lt;50,1.75-0.01875*(50-SU/Nb),0.035*SU/Nb))</f>
        <v>2.1843888888888894</v>
      </c>
      <c r="M16" s="61">
        <f>MIN(500,40*SU/K16)</f>
        <v>500</v>
      </c>
      <c r="N16" s="65">
        <v>0.8</v>
      </c>
      <c r="O16" s="66">
        <v>0.66</v>
      </c>
      <c r="P16" s="65">
        <f t="shared" ref="P16:Q26" si="2">O16</f>
        <v>0.66</v>
      </c>
      <c r="Q16" s="65">
        <f t="shared" si="2"/>
        <v>0.66</v>
      </c>
      <c r="R16" s="53">
        <f t="shared" si="1"/>
        <v>0.74814814814814812</v>
      </c>
      <c r="S16" s="89">
        <f>52-3</f>
        <v>49</v>
      </c>
    </row>
    <row r="17" spans="2:19" x14ac:dyDescent="0.25">
      <c r="B17" s="3">
        <v>15</v>
      </c>
      <c r="C17" s="4" t="s">
        <v>23</v>
      </c>
      <c r="D17" s="13"/>
      <c r="E17" s="24" t="s">
        <v>82</v>
      </c>
      <c r="F17" s="25">
        <v>3.0000000000000001E-3</v>
      </c>
      <c r="G17" s="26" t="s">
        <v>83</v>
      </c>
      <c r="I17" s="61" t="s">
        <v>93</v>
      </c>
      <c r="J17" s="61" t="s">
        <v>72</v>
      </c>
      <c r="K17" s="67">
        <f t="shared" ref="K17:K26" si="3">Nb</f>
        <v>63</v>
      </c>
      <c r="L17" s="68" t="s">
        <v>1</v>
      </c>
      <c r="M17" s="61">
        <v>1200</v>
      </c>
      <c r="N17" s="65">
        <v>0.9</v>
      </c>
      <c r="O17" s="65">
        <f>N17</f>
        <v>0.9</v>
      </c>
      <c r="P17" s="65">
        <f t="shared" si="2"/>
        <v>0.9</v>
      </c>
      <c r="Q17" s="65">
        <f t="shared" si="2"/>
        <v>0.9</v>
      </c>
      <c r="R17" s="53">
        <f t="shared" si="1"/>
        <v>0.9</v>
      </c>
      <c r="S17" s="89">
        <f>52-1</f>
        <v>51</v>
      </c>
    </row>
    <row r="18" spans="2:19" x14ac:dyDescent="0.25">
      <c r="B18" s="3">
        <v>16</v>
      </c>
      <c r="C18" s="4" t="s">
        <v>29</v>
      </c>
      <c r="D18" s="13"/>
      <c r="I18" s="61" t="s">
        <v>92</v>
      </c>
      <c r="J18" s="61" t="s">
        <v>71</v>
      </c>
      <c r="K18" s="67">
        <f t="shared" si="3"/>
        <v>63</v>
      </c>
      <c r="L18" s="68" t="s">
        <v>1</v>
      </c>
      <c r="M18" s="61">
        <v>1.25</v>
      </c>
      <c r="N18" s="65">
        <v>0.9</v>
      </c>
      <c r="O18" s="65">
        <f>N18</f>
        <v>0.9</v>
      </c>
      <c r="P18" s="65">
        <f t="shared" si="2"/>
        <v>0.9</v>
      </c>
      <c r="Q18" s="65">
        <f t="shared" si="2"/>
        <v>0.9</v>
      </c>
      <c r="R18" s="53">
        <f t="shared" si="1"/>
        <v>0.9</v>
      </c>
      <c r="S18" s="89">
        <f>52-16</f>
        <v>36</v>
      </c>
    </row>
    <row r="19" spans="2:19" x14ac:dyDescent="0.25">
      <c r="B19" s="3">
        <v>17</v>
      </c>
      <c r="C19" s="4" t="s">
        <v>29</v>
      </c>
      <c r="D19" s="13"/>
      <c r="E19" s="51" t="s">
        <v>162</v>
      </c>
      <c r="F19" s="33" t="s">
        <v>80</v>
      </c>
      <c r="G19" s="33" t="s">
        <v>84</v>
      </c>
      <c r="I19" s="61" t="s">
        <v>90</v>
      </c>
      <c r="J19" s="61" t="s">
        <v>69</v>
      </c>
      <c r="K19" s="67">
        <f t="shared" si="3"/>
        <v>63</v>
      </c>
      <c r="L19" s="68" t="s">
        <v>1</v>
      </c>
      <c r="M19" s="61">
        <v>420.6</v>
      </c>
      <c r="N19" s="65">
        <v>0.9</v>
      </c>
      <c r="O19" s="65">
        <v>0.66</v>
      </c>
      <c r="P19" s="65">
        <f t="shared" si="2"/>
        <v>0.66</v>
      </c>
      <c r="Q19" s="65">
        <f t="shared" si="2"/>
        <v>0.66</v>
      </c>
      <c r="R19" s="53">
        <f t="shared" si="1"/>
        <v>0.81111111111111112</v>
      </c>
      <c r="S19" s="89">
        <v>52</v>
      </c>
    </row>
    <row r="20" spans="2:19" ht="15" customHeight="1" x14ac:dyDescent="0.25">
      <c r="B20" s="3">
        <v>18</v>
      </c>
      <c r="C20" s="4" t="s">
        <v>29</v>
      </c>
      <c r="D20" s="13"/>
      <c r="E20" s="24" t="s">
        <v>85</v>
      </c>
      <c r="F20" s="204">
        <v>5.0000000000000001E-4</v>
      </c>
      <c r="G20" s="204"/>
      <c r="I20" s="61" t="s">
        <v>87</v>
      </c>
      <c r="J20" s="61" t="str">
        <f>J19</f>
        <v>Nombre de chambres</v>
      </c>
      <c r="K20" s="67">
        <f t="shared" si="3"/>
        <v>63</v>
      </c>
      <c r="L20" s="68" t="s">
        <v>1</v>
      </c>
      <c r="M20" s="61">
        <v>586.20000000000005</v>
      </c>
      <c r="N20" s="65">
        <v>0.9</v>
      </c>
      <c r="O20" s="65">
        <v>0.66</v>
      </c>
      <c r="P20" s="65">
        <f t="shared" si="2"/>
        <v>0.66</v>
      </c>
      <c r="Q20" s="65">
        <f t="shared" si="2"/>
        <v>0.66</v>
      </c>
      <c r="R20" s="53">
        <f t="shared" si="1"/>
        <v>0.81111111111111112</v>
      </c>
      <c r="S20" s="89">
        <v>52</v>
      </c>
    </row>
    <row r="21" spans="2:19" ht="15" customHeight="1" x14ac:dyDescent="0.25">
      <c r="B21" s="3">
        <v>19</v>
      </c>
      <c r="C21" s="4" t="s">
        <v>23</v>
      </c>
      <c r="D21" s="13"/>
      <c r="I21" s="61" t="s">
        <v>88</v>
      </c>
      <c r="J21" s="61" t="str">
        <f>J20</f>
        <v>Nombre de chambres</v>
      </c>
      <c r="K21" s="67">
        <f t="shared" si="3"/>
        <v>63</v>
      </c>
      <c r="L21" s="68" t="s">
        <v>1</v>
      </c>
      <c r="M21" s="61">
        <v>655.20000000000005</v>
      </c>
      <c r="N21" s="65">
        <v>0.9</v>
      </c>
      <c r="O21" s="65">
        <v>0.66</v>
      </c>
      <c r="P21" s="65">
        <f t="shared" si="2"/>
        <v>0.66</v>
      </c>
      <c r="Q21" s="65">
        <f t="shared" si="2"/>
        <v>0.66</v>
      </c>
      <c r="R21" s="53">
        <f t="shared" si="1"/>
        <v>0.81111111111111112</v>
      </c>
      <c r="S21" s="89">
        <v>52</v>
      </c>
    </row>
    <row r="22" spans="2:19" ht="15" customHeight="1" x14ac:dyDescent="0.25">
      <c r="B22" s="3" t="s">
        <v>30</v>
      </c>
      <c r="C22" s="4" t="s">
        <v>26</v>
      </c>
      <c r="D22" s="13"/>
      <c r="E22" s="51" t="s">
        <v>107</v>
      </c>
      <c r="F22" s="55" t="s">
        <v>135</v>
      </c>
      <c r="I22" s="61" t="s">
        <v>89</v>
      </c>
      <c r="J22" s="61" t="str">
        <f>J21</f>
        <v>Nombre de chambres</v>
      </c>
      <c r="K22" s="67">
        <f t="shared" si="3"/>
        <v>63</v>
      </c>
      <c r="L22" s="68" t="s">
        <v>1</v>
      </c>
      <c r="M22" s="61">
        <v>902.7</v>
      </c>
      <c r="N22" s="65">
        <v>0.9</v>
      </c>
      <c r="O22" s="65">
        <v>0.66</v>
      </c>
      <c r="P22" s="65">
        <f t="shared" si="2"/>
        <v>0.66</v>
      </c>
      <c r="Q22" s="65">
        <f t="shared" si="2"/>
        <v>0.66</v>
      </c>
      <c r="R22" s="53">
        <f t="shared" si="1"/>
        <v>0.81111111111111112</v>
      </c>
      <c r="S22" s="89">
        <v>52</v>
      </c>
    </row>
    <row r="23" spans="2:19" ht="15" customHeight="1" x14ac:dyDescent="0.25">
      <c r="B23" s="3" t="s">
        <v>31</v>
      </c>
      <c r="C23" s="4" t="s">
        <v>26</v>
      </c>
      <c r="D23" s="13"/>
      <c r="E23" s="2" t="s">
        <v>106</v>
      </c>
      <c r="F23" s="93">
        <v>1</v>
      </c>
      <c r="I23" s="69" t="s">
        <v>126</v>
      </c>
      <c r="J23" s="61" t="s">
        <v>70</v>
      </c>
      <c r="K23" s="67">
        <f t="shared" si="3"/>
        <v>63</v>
      </c>
      <c r="L23" s="68" t="s">
        <v>1</v>
      </c>
      <c r="M23" s="69">
        <v>330</v>
      </c>
      <c r="N23" s="65">
        <v>0.9</v>
      </c>
      <c r="O23" s="65">
        <v>0.66</v>
      </c>
      <c r="P23" s="65">
        <f t="shared" si="2"/>
        <v>0.66</v>
      </c>
      <c r="Q23" s="65">
        <f t="shared" si="2"/>
        <v>0.66</v>
      </c>
      <c r="R23" s="53">
        <f t="shared" si="1"/>
        <v>0.81111111111111112</v>
      </c>
      <c r="S23" s="89">
        <f>52-16</f>
        <v>36</v>
      </c>
    </row>
    <row r="24" spans="2:19" ht="15" customHeight="1" x14ac:dyDescent="0.25">
      <c r="B24" s="3">
        <v>21</v>
      </c>
      <c r="C24" s="4" t="s">
        <v>23</v>
      </c>
      <c r="D24" s="13"/>
      <c r="E24" s="5" t="s">
        <v>105</v>
      </c>
      <c r="F24" s="93">
        <v>2</v>
      </c>
      <c r="I24" s="69" t="s">
        <v>127</v>
      </c>
      <c r="J24" s="61" t="s">
        <v>70</v>
      </c>
      <c r="K24" s="67">
        <f t="shared" si="3"/>
        <v>63</v>
      </c>
      <c r="L24" s="68" t="s">
        <v>1</v>
      </c>
      <c r="M24" s="69">
        <v>330</v>
      </c>
      <c r="N24" s="65">
        <v>0.9</v>
      </c>
      <c r="O24" s="65">
        <v>0.66</v>
      </c>
      <c r="P24" s="65">
        <f t="shared" si="2"/>
        <v>0.66</v>
      </c>
      <c r="Q24" s="65">
        <f t="shared" si="2"/>
        <v>0.66</v>
      </c>
      <c r="R24" s="53">
        <f t="shared" si="1"/>
        <v>0.81111111111111112</v>
      </c>
      <c r="S24" s="89">
        <f>1*0.5+4*0.75+(52-5)</f>
        <v>50.5</v>
      </c>
    </row>
    <row r="25" spans="2:19" ht="15" customHeight="1" x14ac:dyDescent="0.25">
      <c r="B25" s="3">
        <v>22</v>
      </c>
      <c r="C25" s="4" t="s">
        <v>32</v>
      </c>
      <c r="D25" s="13"/>
      <c r="E25" s="5" t="s">
        <v>104</v>
      </c>
      <c r="F25" s="93">
        <v>3</v>
      </c>
      <c r="I25" s="69" t="s">
        <v>128</v>
      </c>
      <c r="J25" s="61" t="s">
        <v>70</v>
      </c>
      <c r="K25" s="67">
        <f t="shared" si="3"/>
        <v>63</v>
      </c>
      <c r="L25" s="68" t="s">
        <v>1</v>
      </c>
      <c r="M25" s="69">
        <v>330</v>
      </c>
      <c r="N25" s="65">
        <v>0.9</v>
      </c>
      <c r="O25" s="65">
        <v>0.66</v>
      </c>
      <c r="P25" s="65">
        <f t="shared" si="2"/>
        <v>0.66</v>
      </c>
      <c r="Q25" s="65">
        <f t="shared" si="2"/>
        <v>0.66</v>
      </c>
      <c r="R25" s="53">
        <f t="shared" si="1"/>
        <v>0.81111111111111112</v>
      </c>
      <c r="S25" s="89">
        <f>5*0.5+(52-5)</f>
        <v>49.5</v>
      </c>
    </row>
    <row r="26" spans="2:19" ht="15" customHeight="1" x14ac:dyDescent="0.25">
      <c r="B26" s="3">
        <v>23</v>
      </c>
      <c r="C26" s="4" t="s">
        <v>23</v>
      </c>
      <c r="D26" s="13"/>
      <c r="E26" s="5" t="s">
        <v>131</v>
      </c>
      <c r="F26" s="90">
        <v>4</v>
      </c>
      <c r="I26" s="61" t="s">
        <v>91</v>
      </c>
      <c r="J26" s="61" t="s">
        <v>70</v>
      </c>
      <c r="K26" s="67">
        <f t="shared" si="3"/>
        <v>63</v>
      </c>
      <c r="L26" s="68" t="s">
        <v>1</v>
      </c>
      <c r="M26" s="69">
        <v>600</v>
      </c>
      <c r="N26" s="65">
        <v>0.9</v>
      </c>
      <c r="O26" s="65">
        <v>0.66</v>
      </c>
      <c r="P26" s="65">
        <f t="shared" si="2"/>
        <v>0.66</v>
      </c>
      <c r="Q26" s="65">
        <f t="shared" si="2"/>
        <v>0.66</v>
      </c>
      <c r="R26" s="53">
        <f t="shared" si="1"/>
        <v>0.81111111111111112</v>
      </c>
      <c r="S26" s="89">
        <v>52</v>
      </c>
    </row>
    <row r="27" spans="2:19" ht="15" customHeight="1" x14ac:dyDescent="0.25">
      <c r="B27" s="3">
        <v>24</v>
      </c>
      <c r="C27" s="4" t="s">
        <v>28</v>
      </c>
      <c r="D27" s="13"/>
    </row>
    <row r="28" spans="2:19" ht="15" customHeight="1" x14ac:dyDescent="0.25">
      <c r="B28" s="3">
        <v>25</v>
      </c>
      <c r="C28" s="4" t="s">
        <v>23</v>
      </c>
      <c r="D28" s="13"/>
      <c r="E28" s="51" t="s">
        <v>141</v>
      </c>
      <c r="F28" s="55" t="s">
        <v>146</v>
      </c>
    </row>
    <row r="29" spans="2:19" ht="15" customHeight="1" x14ac:dyDescent="0.25">
      <c r="B29" s="3">
        <v>26</v>
      </c>
      <c r="C29" s="4" t="s">
        <v>25</v>
      </c>
      <c r="D29" s="13"/>
      <c r="E29" s="91" t="s">
        <v>143</v>
      </c>
      <c r="F29" s="93">
        <v>0</v>
      </c>
    </row>
    <row r="30" spans="2:19" ht="15" customHeight="1" x14ac:dyDescent="0.25">
      <c r="B30" s="3">
        <v>27</v>
      </c>
      <c r="C30" s="4" t="s">
        <v>24</v>
      </c>
      <c r="D30" s="13"/>
      <c r="E30" s="103" t="s">
        <v>144</v>
      </c>
      <c r="F30" s="108">
        <f>0.25*Napp_récupérateur*Csimultanéité</f>
        <v>0.4</v>
      </c>
    </row>
    <row r="31" spans="2:19" ht="15" customHeight="1" x14ac:dyDescent="0.25">
      <c r="B31" s="3">
        <v>28</v>
      </c>
      <c r="C31" s="4" t="s">
        <v>24</v>
      </c>
      <c r="D31" s="13"/>
      <c r="E31" s="103" t="s">
        <v>145</v>
      </c>
      <c r="F31" s="93">
        <f>TITREV!D49</f>
        <v>0</v>
      </c>
      <c r="J31" s="92"/>
    </row>
    <row r="32" spans="2:19" ht="15" customHeight="1" x14ac:dyDescent="0.25">
      <c r="B32" s="3">
        <v>29</v>
      </c>
      <c r="C32" s="4" t="s">
        <v>32</v>
      </c>
      <c r="D32" s="13"/>
      <c r="E32" s="109"/>
      <c r="F32" s="111"/>
    </row>
    <row r="33" spans="2:6" ht="15" customHeight="1" x14ac:dyDescent="0.25">
      <c r="B33" s="3">
        <v>30</v>
      </c>
      <c r="C33" s="4" t="s">
        <v>26</v>
      </c>
      <c r="D33" s="13"/>
    </row>
    <row r="34" spans="2:6" ht="15" customHeight="1" x14ac:dyDescent="0.25">
      <c r="B34" s="3">
        <v>31</v>
      </c>
      <c r="C34" s="4" t="s">
        <v>28</v>
      </c>
      <c r="D34" s="13"/>
    </row>
    <row r="35" spans="2:6" x14ac:dyDescent="0.25">
      <c r="B35" s="3">
        <v>32</v>
      </c>
      <c r="C35" s="4" t="s">
        <v>28</v>
      </c>
      <c r="D35" s="13"/>
    </row>
    <row r="36" spans="2:6" x14ac:dyDescent="0.25">
      <c r="B36" s="3">
        <v>33</v>
      </c>
      <c r="C36" s="4" t="s">
        <v>28</v>
      </c>
      <c r="D36" s="13"/>
    </row>
    <row r="37" spans="2:6" x14ac:dyDescent="0.25">
      <c r="B37" s="3">
        <v>34</v>
      </c>
      <c r="C37" s="4" t="s">
        <v>26</v>
      </c>
      <c r="D37" s="13"/>
    </row>
    <row r="38" spans="2:6" x14ac:dyDescent="0.25">
      <c r="B38" s="3">
        <v>35</v>
      </c>
      <c r="C38" s="4" t="s">
        <v>32</v>
      </c>
      <c r="D38" s="13"/>
      <c r="E38" s="110"/>
      <c r="F38" s="111"/>
    </row>
    <row r="39" spans="2:6" x14ac:dyDescent="0.25">
      <c r="B39" s="3">
        <v>36</v>
      </c>
      <c r="C39" s="4" t="s">
        <v>29</v>
      </c>
      <c r="D39" s="13"/>
    </row>
    <row r="40" spans="2:6" x14ac:dyDescent="0.25">
      <c r="B40" s="3">
        <v>37</v>
      </c>
      <c r="C40" s="4" t="s">
        <v>29</v>
      </c>
      <c r="D40" s="13"/>
    </row>
    <row r="41" spans="2:6" x14ac:dyDescent="0.25">
      <c r="B41" s="3">
        <v>38</v>
      </c>
      <c r="C41" s="4" t="s">
        <v>23</v>
      </c>
      <c r="D41" s="13"/>
    </row>
    <row r="42" spans="2:6" x14ac:dyDescent="0.25">
      <c r="B42" s="3">
        <v>39</v>
      </c>
      <c r="C42" s="4" t="s">
        <v>23</v>
      </c>
      <c r="D42" s="13"/>
    </row>
    <row r="43" spans="2:6" x14ac:dyDescent="0.25">
      <c r="B43" s="3">
        <v>40</v>
      </c>
      <c r="C43" s="4" t="s">
        <v>28</v>
      </c>
      <c r="D43" s="13"/>
    </row>
    <row r="44" spans="2:6" x14ac:dyDescent="0.25">
      <c r="B44" s="3">
        <v>41</v>
      </c>
      <c r="C44" s="4" t="s">
        <v>29</v>
      </c>
      <c r="D44" s="13"/>
    </row>
    <row r="45" spans="2:6" x14ac:dyDescent="0.25">
      <c r="B45" s="3">
        <v>42</v>
      </c>
      <c r="C45" s="4" t="s">
        <v>23</v>
      </c>
      <c r="D45" s="13"/>
    </row>
    <row r="46" spans="2:6" x14ac:dyDescent="0.25">
      <c r="B46" s="3">
        <v>43</v>
      </c>
      <c r="C46" s="4" t="s">
        <v>23</v>
      </c>
      <c r="D46" s="13"/>
    </row>
    <row r="47" spans="2:6" x14ac:dyDescent="0.25">
      <c r="B47" s="3">
        <v>44</v>
      </c>
      <c r="C47" s="4" t="s">
        <v>29</v>
      </c>
      <c r="D47" s="13"/>
      <c r="E47" s="13"/>
      <c r="F47" s="13"/>
    </row>
    <row r="48" spans="2:6" x14ac:dyDescent="0.25">
      <c r="B48" s="3">
        <v>45</v>
      </c>
      <c r="C48" s="4" t="s">
        <v>27</v>
      </c>
      <c r="D48" s="13"/>
      <c r="E48" s="13"/>
      <c r="F48" s="13"/>
    </row>
    <row r="49" spans="2:6" x14ac:dyDescent="0.25">
      <c r="B49" s="3">
        <v>46</v>
      </c>
      <c r="C49" s="4" t="s">
        <v>28</v>
      </c>
      <c r="D49" s="13"/>
      <c r="E49" s="13"/>
      <c r="F49" s="13"/>
    </row>
    <row r="50" spans="2:6" x14ac:dyDescent="0.25">
      <c r="B50" s="3">
        <v>47</v>
      </c>
      <c r="C50" s="4" t="s">
        <v>28</v>
      </c>
      <c r="D50" s="13"/>
      <c r="E50" s="13"/>
      <c r="F50" s="13"/>
    </row>
    <row r="51" spans="2:6" x14ac:dyDescent="0.25">
      <c r="B51" s="3">
        <v>48</v>
      </c>
      <c r="C51" s="4" t="s">
        <v>25</v>
      </c>
      <c r="D51" s="13"/>
      <c r="E51" s="13"/>
      <c r="F51" s="13"/>
    </row>
    <row r="52" spans="2:6" x14ac:dyDescent="0.25">
      <c r="B52" s="3">
        <v>49</v>
      </c>
      <c r="C52" s="4" t="s">
        <v>29</v>
      </c>
      <c r="D52" s="13"/>
      <c r="E52" s="13"/>
      <c r="F52" s="13"/>
    </row>
    <row r="53" spans="2:6" x14ac:dyDescent="0.25">
      <c r="B53" s="3">
        <v>50</v>
      </c>
      <c r="C53" s="4" t="s">
        <v>32</v>
      </c>
      <c r="D53" s="13"/>
      <c r="E53" s="13"/>
      <c r="F53" s="13"/>
    </row>
    <row r="54" spans="2:6" x14ac:dyDescent="0.25">
      <c r="B54" s="3">
        <v>51</v>
      </c>
      <c r="C54" s="4" t="s">
        <v>27</v>
      </c>
      <c r="D54" s="13"/>
      <c r="E54" s="13"/>
      <c r="F54" s="13"/>
    </row>
    <row r="55" spans="2:6" x14ac:dyDescent="0.25">
      <c r="B55" s="3">
        <v>52</v>
      </c>
      <c r="C55" s="4" t="s">
        <v>27</v>
      </c>
      <c r="D55" s="13"/>
      <c r="E55" s="13"/>
      <c r="F55" s="13"/>
    </row>
    <row r="56" spans="2:6" x14ac:dyDescent="0.25">
      <c r="B56" s="3">
        <v>53</v>
      </c>
      <c r="C56" s="4" t="s">
        <v>29</v>
      </c>
      <c r="D56" s="13"/>
      <c r="E56" s="13"/>
      <c r="F56" s="13"/>
    </row>
    <row r="57" spans="2:6" x14ac:dyDescent="0.25">
      <c r="B57" s="3">
        <v>54</v>
      </c>
      <c r="C57" s="4" t="s">
        <v>27</v>
      </c>
      <c r="D57" s="13"/>
      <c r="E57" s="13"/>
      <c r="F57" s="13"/>
    </row>
    <row r="58" spans="2:6" x14ac:dyDescent="0.25">
      <c r="B58" s="3">
        <v>55</v>
      </c>
      <c r="C58" s="4" t="s">
        <v>27</v>
      </c>
      <c r="D58" s="13"/>
      <c r="E58" s="13"/>
      <c r="F58" s="13"/>
    </row>
    <row r="59" spans="2:6" x14ac:dyDescent="0.25">
      <c r="B59" s="3">
        <v>56</v>
      </c>
      <c r="C59" s="4" t="s">
        <v>32</v>
      </c>
      <c r="D59" s="13"/>
      <c r="E59" s="13"/>
      <c r="F59" s="13"/>
    </row>
    <row r="60" spans="2:6" x14ac:dyDescent="0.25">
      <c r="B60" s="3">
        <v>57</v>
      </c>
      <c r="C60" s="4" t="s">
        <v>27</v>
      </c>
      <c r="D60" s="13"/>
      <c r="E60" s="13"/>
      <c r="F60" s="13"/>
    </row>
    <row r="61" spans="2:6" x14ac:dyDescent="0.25">
      <c r="B61" s="3">
        <v>58</v>
      </c>
      <c r="C61" s="4" t="s">
        <v>27</v>
      </c>
      <c r="D61" s="13"/>
      <c r="E61" s="13"/>
      <c r="F61" s="13"/>
    </row>
    <row r="62" spans="2:6" x14ac:dyDescent="0.25">
      <c r="B62" s="3">
        <v>59</v>
      </c>
      <c r="C62" s="4" t="s">
        <v>24</v>
      </c>
      <c r="D62" s="13"/>
      <c r="E62" s="13"/>
      <c r="F62" s="13"/>
    </row>
    <row r="63" spans="2:6" x14ac:dyDescent="0.25">
      <c r="B63" s="3">
        <v>60</v>
      </c>
      <c r="C63" s="4" t="s">
        <v>24</v>
      </c>
      <c r="D63" s="13"/>
      <c r="E63" s="13"/>
      <c r="F63" s="13"/>
    </row>
    <row r="64" spans="2:6" x14ac:dyDescent="0.25">
      <c r="B64" s="3">
        <v>61</v>
      </c>
      <c r="C64" s="4" t="s">
        <v>24</v>
      </c>
      <c r="D64" s="13"/>
      <c r="E64" s="13"/>
      <c r="F64" s="13"/>
    </row>
    <row r="65" spans="2:6" x14ac:dyDescent="0.25">
      <c r="B65" s="3">
        <v>62</v>
      </c>
      <c r="C65" s="4" t="s">
        <v>24</v>
      </c>
      <c r="D65" s="13"/>
      <c r="E65" s="13"/>
      <c r="F65" s="13"/>
    </row>
    <row r="66" spans="2:6" x14ac:dyDescent="0.25">
      <c r="B66" s="3">
        <v>63</v>
      </c>
      <c r="C66" s="4" t="s">
        <v>23</v>
      </c>
      <c r="D66" s="13"/>
      <c r="E66" s="13"/>
      <c r="F66" s="13"/>
    </row>
    <row r="67" spans="2:6" x14ac:dyDescent="0.25">
      <c r="B67" s="3">
        <v>64</v>
      </c>
      <c r="C67" s="4" t="s">
        <v>28</v>
      </c>
      <c r="D67" s="13"/>
      <c r="E67" s="13"/>
      <c r="F67" s="13"/>
    </row>
    <row r="68" spans="2:6" x14ac:dyDescent="0.25">
      <c r="B68" s="3">
        <v>65</v>
      </c>
      <c r="C68" s="4" t="s">
        <v>28</v>
      </c>
      <c r="D68" s="13"/>
      <c r="E68" s="13"/>
      <c r="F68" s="13"/>
    </row>
    <row r="69" spans="2:6" x14ac:dyDescent="0.25">
      <c r="B69" s="3">
        <v>66</v>
      </c>
      <c r="C69" s="4" t="s">
        <v>26</v>
      </c>
      <c r="D69" s="13"/>
      <c r="E69" s="13"/>
      <c r="F69" s="13"/>
    </row>
    <row r="70" spans="2:6" x14ac:dyDescent="0.25">
      <c r="B70" s="3">
        <v>67</v>
      </c>
      <c r="C70" s="4" t="s">
        <v>27</v>
      </c>
      <c r="D70" s="13"/>
      <c r="E70" s="13"/>
      <c r="F70" s="13"/>
    </row>
    <row r="71" spans="2:6" x14ac:dyDescent="0.25">
      <c r="B71" s="3">
        <v>68</v>
      </c>
      <c r="C71" s="4" t="s">
        <v>27</v>
      </c>
      <c r="D71" s="13"/>
      <c r="E71" s="13"/>
      <c r="F71" s="13"/>
    </row>
    <row r="72" spans="2:6" x14ac:dyDescent="0.25">
      <c r="B72" s="3">
        <v>69</v>
      </c>
      <c r="C72" s="4" t="s">
        <v>23</v>
      </c>
      <c r="D72" s="13"/>
      <c r="E72" s="13"/>
      <c r="F72" s="13"/>
    </row>
    <row r="73" spans="2:6" x14ac:dyDescent="0.25">
      <c r="B73" s="3">
        <v>70</v>
      </c>
      <c r="C73" s="4" t="s">
        <v>27</v>
      </c>
      <c r="D73" s="13"/>
      <c r="E73" s="13"/>
      <c r="F73" s="13"/>
    </row>
    <row r="74" spans="2:6" x14ac:dyDescent="0.25">
      <c r="B74" s="3">
        <v>71</v>
      </c>
      <c r="C74" s="4" t="s">
        <v>23</v>
      </c>
      <c r="D74" s="13"/>
      <c r="E74" s="13"/>
      <c r="F74" s="13"/>
    </row>
    <row r="75" spans="2:6" x14ac:dyDescent="0.25">
      <c r="B75" s="3">
        <v>72</v>
      </c>
      <c r="C75" s="4" t="s">
        <v>29</v>
      </c>
      <c r="D75" s="13"/>
      <c r="E75" s="13"/>
      <c r="F75" s="13"/>
    </row>
    <row r="76" spans="2:6" x14ac:dyDescent="0.25">
      <c r="B76" s="3">
        <v>73</v>
      </c>
      <c r="C76" s="4" t="s">
        <v>23</v>
      </c>
      <c r="D76" s="13"/>
      <c r="E76" s="13"/>
      <c r="F76" s="13"/>
    </row>
    <row r="77" spans="2:6" x14ac:dyDescent="0.25">
      <c r="B77" s="3">
        <v>74</v>
      </c>
      <c r="C77" s="4" t="s">
        <v>23</v>
      </c>
      <c r="D77" s="13"/>
      <c r="E77" s="13"/>
      <c r="F77" s="13"/>
    </row>
    <row r="78" spans="2:6" x14ac:dyDescent="0.25">
      <c r="B78" s="3">
        <v>75</v>
      </c>
      <c r="C78" s="4" t="s">
        <v>24</v>
      </c>
      <c r="D78" s="13"/>
      <c r="E78" s="13"/>
      <c r="F78" s="13"/>
    </row>
    <row r="79" spans="2:6" x14ac:dyDescent="0.25">
      <c r="B79" s="3">
        <v>76</v>
      </c>
      <c r="C79" s="4" t="s">
        <v>24</v>
      </c>
      <c r="D79" s="13"/>
      <c r="E79" s="13"/>
      <c r="F79" s="13"/>
    </row>
    <row r="80" spans="2:6" x14ac:dyDescent="0.25">
      <c r="B80" s="3">
        <v>77</v>
      </c>
      <c r="C80" s="4" t="s">
        <v>24</v>
      </c>
      <c r="D80" s="13"/>
      <c r="E80" s="13"/>
      <c r="F80" s="13"/>
    </row>
    <row r="81" spans="2:6" x14ac:dyDescent="0.25">
      <c r="B81" s="3">
        <v>78</v>
      </c>
      <c r="C81" s="4" t="s">
        <v>24</v>
      </c>
      <c r="D81" s="13"/>
      <c r="E81" s="13"/>
      <c r="F81" s="13"/>
    </row>
    <row r="82" spans="2:6" x14ac:dyDescent="0.25">
      <c r="B82" s="3">
        <v>79</v>
      </c>
      <c r="C82" s="4" t="s">
        <v>29</v>
      </c>
      <c r="D82" s="13"/>
    </row>
    <row r="83" spans="2:6" x14ac:dyDescent="0.25">
      <c r="B83" s="3">
        <v>80</v>
      </c>
      <c r="C83" s="4" t="s">
        <v>24</v>
      </c>
      <c r="D83" s="13"/>
    </row>
    <row r="84" spans="2:6" x14ac:dyDescent="0.25">
      <c r="B84" s="3">
        <v>81</v>
      </c>
      <c r="C84" s="4" t="s">
        <v>28</v>
      </c>
      <c r="D84" s="13"/>
    </row>
    <row r="85" spans="2:6" x14ac:dyDescent="0.25">
      <c r="B85" s="3">
        <v>82</v>
      </c>
      <c r="C85" s="4" t="s">
        <v>28</v>
      </c>
      <c r="D85" s="13"/>
    </row>
    <row r="86" spans="2:6" x14ac:dyDescent="0.25">
      <c r="B86" s="3">
        <v>83</v>
      </c>
      <c r="C86" s="4" t="s">
        <v>26</v>
      </c>
      <c r="D86" s="13"/>
    </row>
    <row r="87" spans="2:6" x14ac:dyDescent="0.25">
      <c r="B87" s="3">
        <v>84</v>
      </c>
      <c r="C87" s="4" t="s">
        <v>25</v>
      </c>
      <c r="D87" s="13"/>
    </row>
    <row r="88" spans="2:6" x14ac:dyDescent="0.25">
      <c r="B88" s="3">
        <v>85</v>
      </c>
      <c r="C88" s="4" t="s">
        <v>29</v>
      </c>
      <c r="D88" s="13"/>
    </row>
    <row r="89" spans="2:6" x14ac:dyDescent="0.25">
      <c r="B89" s="3">
        <v>86</v>
      </c>
      <c r="C89" s="4" t="s">
        <v>29</v>
      </c>
      <c r="D89" s="13"/>
    </row>
    <row r="90" spans="2:6" x14ac:dyDescent="0.25">
      <c r="B90" s="3">
        <v>87</v>
      </c>
      <c r="C90" s="4" t="s">
        <v>23</v>
      </c>
      <c r="D90" s="13"/>
    </row>
    <row r="91" spans="2:6" x14ac:dyDescent="0.25">
      <c r="B91" s="3">
        <v>88</v>
      </c>
      <c r="C91" s="4" t="s">
        <v>27</v>
      </c>
      <c r="D91" s="13"/>
    </row>
    <row r="92" spans="2:6" x14ac:dyDescent="0.25">
      <c r="B92" s="3">
        <v>89</v>
      </c>
      <c r="C92" s="4" t="s">
        <v>27</v>
      </c>
      <c r="D92" s="13"/>
    </row>
    <row r="93" spans="2:6" x14ac:dyDescent="0.25">
      <c r="B93" s="3">
        <v>90</v>
      </c>
      <c r="C93" s="4" t="s">
        <v>27</v>
      </c>
      <c r="D93" s="13"/>
    </row>
    <row r="94" spans="2:6" x14ac:dyDescent="0.25">
      <c r="B94" s="3">
        <v>91</v>
      </c>
      <c r="C94" s="4" t="s">
        <v>24</v>
      </c>
      <c r="D94" s="13"/>
    </row>
    <row r="95" spans="2:6" x14ac:dyDescent="0.25">
      <c r="B95" s="3">
        <v>92</v>
      </c>
      <c r="C95" s="4" t="s">
        <v>24</v>
      </c>
      <c r="D95" s="13"/>
    </row>
    <row r="96" spans="2:6" x14ac:dyDescent="0.25">
      <c r="B96" s="3">
        <v>93</v>
      </c>
      <c r="C96" s="4" t="s">
        <v>24</v>
      </c>
      <c r="D96" s="13"/>
    </row>
    <row r="97" spans="2:4" x14ac:dyDescent="0.25">
      <c r="B97" s="3">
        <v>94</v>
      </c>
      <c r="C97" s="4" t="s">
        <v>24</v>
      </c>
      <c r="D97" s="13"/>
    </row>
    <row r="98" spans="2:4" x14ac:dyDescent="0.25">
      <c r="B98" s="3">
        <v>95</v>
      </c>
      <c r="C98" s="4" t="s">
        <v>24</v>
      </c>
      <c r="D98" s="13"/>
    </row>
  </sheetData>
  <sheetProtection formatColumns="0" formatRows="0" selectLockedCells="1"/>
  <mergeCells count="5">
    <mergeCell ref="N14:Q14"/>
    <mergeCell ref="F20:G20"/>
    <mergeCell ref="F16:G16"/>
    <mergeCell ref="F7:G7"/>
    <mergeCell ref="F13:G1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B2:L34"/>
  <sheetViews>
    <sheetView zoomScale="70" zoomScaleNormal="70" workbookViewId="0">
      <selection activeCell="H40" sqref="H40"/>
    </sheetView>
  </sheetViews>
  <sheetFormatPr baseColWidth="10" defaultRowHeight="15" x14ac:dyDescent="0.25"/>
  <cols>
    <col min="1" max="1" width="3.7109375" customWidth="1"/>
    <col min="2" max="2" width="27.28515625" bestFit="1" customWidth="1"/>
    <col min="3" max="3" width="17.42578125" customWidth="1"/>
    <col min="4" max="4" width="15.140625" customWidth="1"/>
    <col min="5" max="5" width="3.7109375" customWidth="1"/>
    <col min="6" max="6" width="8" bestFit="1" customWidth="1"/>
    <col min="7" max="7" width="17" bestFit="1" customWidth="1"/>
    <col min="8" max="8" width="11" bestFit="1" customWidth="1"/>
    <col min="9" max="11" width="20.7109375" customWidth="1"/>
  </cols>
  <sheetData>
    <row r="2" spans="2:11" s="1" customFormat="1" ht="15" customHeight="1" x14ac:dyDescent="0.25">
      <c r="B2" s="215" t="s">
        <v>50</v>
      </c>
      <c r="C2" s="215"/>
      <c r="D2" s="215"/>
      <c r="F2" s="208" t="s">
        <v>134</v>
      </c>
      <c r="G2" s="209"/>
      <c r="H2" s="209"/>
      <c r="I2" s="99"/>
      <c r="J2" s="96"/>
      <c r="K2" s="96"/>
    </row>
    <row r="3" spans="2:11" x14ac:dyDescent="0.25">
      <c r="B3" s="48" t="s">
        <v>5</v>
      </c>
      <c r="C3" s="41">
        <v>1.163</v>
      </c>
      <c r="D3" s="41" t="s">
        <v>6</v>
      </c>
      <c r="F3" s="210"/>
      <c r="G3" s="211"/>
      <c r="H3" s="211"/>
      <c r="I3" s="99"/>
      <c r="J3" s="96"/>
      <c r="K3" s="96"/>
    </row>
    <row r="4" spans="2:11" x14ac:dyDescent="0.25">
      <c r="B4" s="49" t="s">
        <v>7</v>
      </c>
      <c r="C4" s="41">
        <v>1</v>
      </c>
      <c r="D4" s="41" t="s">
        <v>8</v>
      </c>
      <c r="F4" s="17" t="s">
        <v>39</v>
      </c>
      <c r="G4" s="17" t="s">
        <v>0</v>
      </c>
      <c r="H4" s="94" t="s">
        <v>111</v>
      </c>
      <c r="I4" s="100"/>
      <c r="J4" s="97"/>
      <c r="K4" s="97"/>
    </row>
    <row r="5" spans="2:11" x14ac:dyDescent="0.25">
      <c r="B5" s="49" t="s">
        <v>9</v>
      </c>
      <c r="C5" s="41">
        <v>40</v>
      </c>
      <c r="D5" s="41" t="s">
        <v>2</v>
      </c>
      <c r="F5" s="17" t="s">
        <v>24</v>
      </c>
      <c r="G5" s="102">
        <v>12.55</v>
      </c>
      <c r="H5" s="95">
        <v>2</v>
      </c>
      <c r="I5" s="101"/>
      <c r="J5" s="98"/>
      <c r="K5" s="98"/>
    </row>
    <row r="6" spans="2:11" s="1" customFormat="1" x14ac:dyDescent="0.25">
      <c r="B6" s="40" t="s">
        <v>78</v>
      </c>
      <c r="C6" s="42">
        <f>VLOOKUP(zone1,F5:G12,2,FALSE)</f>
        <v>12.55</v>
      </c>
      <c r="D6" s="23" t="s">
        <v>2</v>
      </c>
      <c r="F6" s="17" t="s">
        <v>27</v>
      </c>
      <c r="G6" s="102">
        <v>11.7</v>
      </c>
      <c r="H6" s="95">
        <v>3</v>
      </c>
      <c r="I6" s="101"/>
      <c r="J6" s="98"/>
      <c r="K6" s="98"/>
    </row>
    <row r="7" spans="2:11" x14ac:dyDescent="0.25">
      <c r="B7" s="43"/>
      <c r="C7" s="43"/>
      <c r="D7" s="43"/>
      <c r="F7" s="17" t="s">
        <v>23</v>
      </c>
      <c r="G7" s="102">
        <v>13.02</v>
      </c>
      <c r="H7" s="95">
        <v>4</v>
      </c>
      <c r="I7" s="101"/>
      <c r="J7" s="98"/>
      <c r="K7" s="98"/>
    </row>
    <row r="8" spans="2:11" x14ac:dyDescent="0.25">
      <c r="B8" s="212" t="s">
        <v>75</v>
      </c>
      <c r="C8" s="213"/>
      <c r="D8" s="214"/>
      <c r="F8" s="17" t="s">
        <v>32</v>
      </c>
      <c r="G8" s="102">
        <v>13.72</v>
      </c>
      <c r="H8" s="95">
        <v>5</v>
      </c>
      <c r="I8" s="101"/>
      <c r="J8" s="98"/>
      <c r="K8" s="98"/>
    </row>
    <row r="9" spans="2:11" x14ac:dyDescent="0.25">
      <c r="B9" s="38" t="s">
        <v>74</v>
      </c>
      <c r="C9" s="23">
        <f>VLOOKUP(Usage,ELEMENTS!I15:Q26,5,FALSE)</f>
        <v>500</v>
      </c>
      <c r="D9" s="23" t="s">
        <v>51</v>
      </c>
      <c r="F9" s="17" t="s">
        <v>29</v>
      </c>
      <c r="G9" s="102">
        <v>14.8</v>
      </c>
      <c r="H9" s="95">
        <v>6</v>
      </c>
      <c r="I9" s="101"/>
      <c r="J9" s="98"/>
      <c r="K9" s="98"/>
    </row>
    <row r="10" spans="2:11" x14ac:dyDescent="0.25">
      <c r="B10" s="38" t="s">
        <v>73</v>
      </c>
      <c r="C10" s="23">
        <f>VLOOKUP(Usage,ELEMENTS!I15:Q26,3,FALSE)</f>
        <v>118.45995000000001</v>
      </c>
      <c r="D10" s="23" t="s">
        <v>1</v>
      </c>
      <c r="F10" s="17" t="s">
        <v>28</v>
      </c>
      <c r="G10" s="102">
        <v>14.58</v>
      </c>
      <c r="H10" s="95">
        <v>7</v>
      </c>
      <c r="I10" s="101"/>
      <c r="J10" s="98"/>
      <c r="K10" s="98"/>
    </row>
    <row r="11" spans="2:11" x14ac:dyDescent="0.25">
      <c r="B11" s="38" t="s">
        <v>113</v>
      </c>
      <c r="C11" s="44">
        <f>ρw*Cw*a*Nu*(θuw-θef)</f>
        <v>1890878.4523912501</v>
      </c>
      <c r="D11" s="37" t="s">
        <v>115</v>
      </c>
      <c r="F11" s="17" t="s">
        <v>25</v>
      </c>
      <c r="G11" s="102">
        <v>16.29</v>
      </c>
      <c r="H11" s="95">
        <v>8</v>
      </c>
      <c r="I11" s="101"/>
      <c r="J11" s="98"/>
      <c r="K11" s="98"/>
    </row>
    <row r="12" spans="2:11" x14ac:dyDescent="0.25">
      <c r="B12" s="38" t="s">
        <v>47</v>
      </c>
      <c r="C12" s="45">
        <f>1-gain_em</f>
        <v>0.95</v>
      </c>
      <c r="D12" s="23" t="s">
        <v>42</v>
      </c>
      <c r="F12" s="17" t="s">
        <v>26</v>
      </c>
      <c r="G12" s="102">
        <v>17.23</v>
      </c>
      <c r="H12" s="95">
        <v>9</v>
      </c>
      <c r="I12" s="101"/>
      <c r="J12" s="98"/>
      <c r="K12" s="98"/>
    </row>
    <row r="13" spans="2:11" s="1" customFormat="1" x14ac:dyDescent="0.25">
      <c r="B13" s="38" t="s">
        <v>114</v>
      </c>
      <c r="C13" s="70">
        <f>(1-P)*Qw_hebdo+P*Corr_em*Qw_hebdo</f>
        <v>1820145.5917647625</v>
      </c>
      <c r="D13" s="37" t="s">
        <v>115</v>
      </c>
      <c r="H13"/>
      <c r="I13"/>
      <c r="J13"/>
      <c r="K13"/>
    </row>
    <row r="14" spans="2:11" x14ac:dyDescent="0.25">
      <c r="B14" s="38" t="s">
        <v>46</v>
      </c>
      <c r="C14" s="45">
        <f>1-gain_app</f>
        <v>0.96851851851851856</v>
      </c>
      <c r="D14" s="23" t="s">
        <v>42</v>
      </c>
      <c r="E14" s="9"/>
    </row>
    <row r="15" spans="2:11" x14ac:dyDescent="0.25">
      <c r="B15" s="84" t="s">
        <v>76</v>
      </c>
      <c r="C15" s="85">
        <f>F_occ*Corr_app*Qw_hebdo_corrigé/1000</f>
        <v>86379.390889176982</v>
      </c>
      <c r="D15" s="86" t="s">
        <v>40</v>
      </c>
    </row>
    <row r="16" spans="2:11" x14ac:dyDescent="0.25">
      <c r="B16" s="43"/>
      <c r="C16" s="43"/>
      <c r="D16" s="43"/>
    </row>
    <row r="17" spans="2:12" s="9" customFormat="1" x14ac:dyDescent="0.25">
      <c r="B17" s="212" t="s">
        <v>152</v>
      </c>
      <c r="C17" s="213"/>
      <c r="D17" s="214"/>
      <c r="E17" s="36"/>
      <c r="G17" s="1"/>
      <c r="H17" s="1"/>
      <c r="I17" s="1"/>
      <c r="J17" s="1"/>
      <c r="K17" s="1"/>
      <c r="L17" s="1"/>
    </row>
    <row r="18" spans="2:12" s="9" customFormat="1" x14ac:dyDescent="0.25">
      <c r="B18" s="50" t="s">
        <v>135</v>
      </c>
      <c r="C18" s="90">
        <f>MAX(VLOOKUP(statut_Ctrans,ELEMENTS!E23:F26,2,FALSE),VLOOKUP(statut_Eff_nom,ELEMENTS!E23:F26,2,FALSE))</f>
        <v>2</v>
      </c>
      <c r="D18" s="104" t="s">
        <v>1</v>
      </c>
      <c r="E18" s="36"/>
      <c r="G18" s="1"/>
      <c r="H18" s="1"/>
      <c r="I18" s="1"/>
      <c r="J18" s="1"/>
      <c r="K18" s="1"/>
      <c r="L18" s="1"/>
    </row>
    <row r="19" spans="2:12" x14ac:dyDescent="0.25">
      <c r="E19" s="9"/>
    </row>
    <row r="20" spans="2:12" x14ac:dyDescent="0.25">
      <c r="B20" s="212" t="s">
        <v>48</v>
      </c>
      <c r="C20" s="213"/>
      <c r="D20" s="214"/>
    </row>
    <row r="21" spans="2:12" x14ac:dyDescent="0.25">
      <c r="B21" s="50" t="s">
        <v>153</v>
      </c>
      <c r="C21" s="59">
        <f>IF(N_certif=1,Ctrans*Eff_nom,IF(N_certif=2,0.9*Ctrans*Eff_nom,IF(N_certif=3,MIN(0.8*Ctrans*Eff_nom,0.15),0.8*0.15)))</f>
        <v>0.42687000000000003</v>
      </c>
      <c r="D21" s="37" t="s">
        <v>42</v>
      </c>
      <c r="G21" s="106"/>
    </row>
    <row r="22" spans="2:12" x14ac:dyDescent="0.25">
      <c r="B22" s="40" t="s">
        <v>97</v>
      </c>
      <c r="C22" s="47">
        <f>VLOOKUP(Usage,ELEMENTS!I15:R26,10,FALSE)</f>
        <v>0.74814814814814812</v>
      </c>
      <c r="D22" s="37" t="s">
        <v>42</v>
      </c>
      <c r="E22" s="1"/>
      <c r="G22" s="106"/>
    </row>
    <row r="23" spans="2:12" s="1" customFormat="1" x14ac:dyDescent="0.25">
      <c r="B23" s="40" t="s">
        <v>94</v>
      </c>
      <c r="C23" s="46">
        <f>1-3/(θuw-θef)</f>
        <v>0.89071038251366119</v>
      </c>
      <c r="D23" s="37" t="s">
        <v>42</v>
      </c>
      <c r="G23" s="106"/>
      <c r="J23"/>
      <c r="K23"/>
      <c r="L23"/>
    </row>
    <row r="24" spans="2:12" x14ac:dyDescent="0.25">
      <c r="B24" s="40" t="s">
        <v>95</v>
      </c>
      <c r="C24" s="46">
        <f>1-(Lvc*Fpam_vc+Lhvc*Fpam_hvc)</f>
        <v>0.99360000000000004</v>
      </c>
      <c r="D24" s="37" t="s">
        <v>42</v>
      </c>
      <c r="G24" s="106"/>
    </row>
    <row r="25" spans="2:12" x14ac:dyDescent="0.25">
      <c r="B25" s="40" t="s">
        <v>96</v>
      </c>
      <c r="C25" s="46">
        <f>1-Laval*Fpav_vc_hvc</f>
        <v>0.998</v>
      </c>
      <c r="D25" s="37" t="s">
        <v>42</v>
      </c>
      <c r="G25" s="106"/>
    </row>
    <row r="26" spans="2:12" s="1" customFormat="1" x14ac:dyDescent="0.25">
      <c r="B26" s="40" t="s">
        <v>138</v>
      </c>
      <c r="C26" s="105">
        <f>1-(Lvc+Lhvc)/(215.55*Napp_récupérateur^0.141)</f>
        <v>0.98317067355262089</v>
      </c>
      <c r="D26" s="37" t="s">
        <v>1</v>
      </c>
      <c r="G26" s="107"/>
    </row>
    <row r="27" spans="2:12" s="1" customFormat="1" x14ac:dyDescent="0.25">
      <c r="B27" s="40" t="s">
        <v>139</v>
      </c>
      <c r="C27" s="105">
        <f>IF(Napp_récupérateur&lt;2,1,0.8/SQRT(Napp_récupérateur-1))</f>
        <v>0.8</v>
      </c>
      <c r="D27" s="37" t="s">
        <v>1</v>
      </c>
      <c r="G27" s="107"/>
    </row>
    <row r="28" spans="2:12" x14ac:dyDescent="0.25">
      <c r="B28" s="40" t="s">
        <v>44</v>
      </c>
      <c r="C28" s="47">
        <f>VLOOKUP(Energie,ELEMENTS!I3:O11,4,FALSE)</f>
        <v>1</v>
      </c>
      <c r="D28" s="37" t="s">
        <v>42</v>
      </c>
    </row>
    <row r="29" spans="2:12" x14ac:dyDescent="0.25">
      <c r="B29" s="40" t="s">
        <v>77</v>
      </c>
      <c r="C29" s="47">
        <f>VLOOKUP(Energie,ELEMENTS!I3:O11,3,FALSE)</f>
        <v>0.98</v>
      </c>
      <c r="D29" s="37" t="s">
        <v>42</v>
      </c>
    </row>
    <row r="30" spans="2:12" x14ac:dyDescent="0.25">
      <c r="B30" s="39" t="s">
        <v>41</v>
      </c>
      <c r="C30" s="132">
        <f>Qw_base*Eff_recup*P*F_paa*F_pam*F_pav*Cdéph/(Rpn*Corré)</f>
        <v>24444.145238838424</v>
      </c>
      <c r="D30" s="133" t="s">
        <v>40</v>
      </c>
    </row>
    <row r="32" spans="2:12" x14ac:dyDescent="0.25">
      <c r="B32" s="212" t="s">
        <v>140</v>
      </c>
      <c r="C32" s="213"/>
      <c r="D32" s="214"/>
    </row>
    <row r="33" spans="2:4" x14ac:dyDescent="0.25">
      <c r="B33" s="40" t="s">
        <v>146</v>
      </c>
      <c r="C33" s="134">
        <f>VLOOKUP(TITREV!D48,ELEMENTS!E29:F31,2,FALSE)</f>
        <v>0</v>
      </c>
      <c r="D33" s="37" t="s">
        <v>148</v>
      </c>
    </row>
    <row r="34" spans="2:4" x14ac:dyDescent="0.25">
      <c r="B34" s="40" t="s">
        <v>149</v>
      </c>
      <c r="C34" s="134">
        <f>2.58*Prelevage*F_occ*a*Nu*P*Corr_em*Corr_app/(480*MAX(Napp_récupérateur,1)*Csimultanéité)</f>
        <v>0</v>
      </c>
      <c r="D34" s="37" t="s">
        <v>150</v>
      </c>
    </row>
  </sheetData>
  <sheetProtection formatColumns="0" formatRows="0" selectLockedCells="1"/>
  <mergeCells count="6">
    <mergeCell ref="F2:H3"/>
    <mergeCell ref="B17:D17"/>
    <mergeCell ref="B32:D32"/>
    <mergeCell ref="B2:D2"/>
    <mergeCell ref="B8:D8"/>
    <mergeCell ref="B20:D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55</vt:i4>
      </vt:variant>
    </vt:vector>
  </HeadingPairs>
  <TitlesOfParts>
    <vt:vector size="58" baseType="lpstr">
      <vt:lpstr>TITREV</vt:lpstr>
      <vt:lpstr>ELEMENTS</vt:lpstr>
      <vt:lpstr>CALCULS Gain</vt:lpstr>
      <vt:lpstr>a</vt:lpstr>
      <vt:lpstr>App_douche</vt:lpstr>
      <vt:lpstr>App_grande</vt:lpstr>
      <vt:lpstr>App_sabot</vt:lpstr>
      <vt:lpstr>App_standard</vt:lpstr>
      <vt:lpstr>Cdéph</vt:lpstr>
      <vt:lpstr>Corr_app</vt:lpstr>
      <vt:lpstr>Corr_em</vt:lpstr>
      <vt:lpstr>Corré</vt:lpstr>
      <vt:lpstr>Csimultanéité</vt:lpstr>
      <vt:lpstr>Ctrans</vt:lpstr>
      <vt:lpstr>Cw</vt:lpstr>
      <vt:lpstr>Ddéph</vt:lpstr>
      <vt:lpstr>Eff_nom</vt:lpstr>
      <vt:lpstr>Eff_recup</vt:lpstr>
      <vt:lpstr>Em_melangeur</vt:lpstr>
      <vt:lpstr>Em_mitigeur</vt:lpstr>
      <vt:lpstr>Em_temporisateur</vt:lpstr>
      <vt:lpstr>Energie</vt:lpstr>
      <vt:lpstr>F_occ</vt:lpstr>
      <vt:lpstr>F_paa</vt:lpstr>
      <vt:lpstr>F_pam</vt:lpstr>
      <vt:lpstr>F_pav</vt:lpstr>
      <vt:lpstr>Fpam_hvc</vt:lpstr>
      <vt:lpstr>Fpam_vc</vt:lpstr>
      <vt:lpstr>Fpav_vc_hvc</vt:lpstr>
      <vt:lpstr>Gain</vt:lpstr>
      <vt:lpstr>gain_app</vt:lpstr>
      <vt:lpstr>gain_em</vt:lpstr>
      <vt:lpstr>Laval</vt:lpstr>
      <vt:lpstr>Lhvc</vt:lpstr>
      <vt:lpstr>Lvc</vt:lpstr>
      <vt:lpstr>N_certif</vt:lpstr>
      <vt:lpstr>Napp_récupérateur</vt:lpstr>
      <vt:lpstr>Nb</vt:lpstr>
      <vt:lpstr>Nu</vt:lpstr>
      <vt:lpstr>P</vt:lpstr>
      <vt:lpstr>Prelevage</vt:lpstr>
      <vt:lpstr>Qrelevage</vt:lpstr>
      <vt:lpstr>Qw_base</vt:lpstr>
      <vt:lpstr>Qw_hebdo</vt:lpstr>
      <vt:lpstr>Qw_hebdo_corrigé</vt:lpstr>
      <vt:lpstr>Rpn</vt:lpstr>
      <vt:lpstr>SHON</vt:lpstr>
      <vt:lpstr>SHON_sre</vt:lpstr>
      <vt:lpstr>statut_Ctrans</vt:lpstr>
      <vt:lpstr>statut_Eff_nom</vt:lpstr>
      <vt:lpstr>SU</vt:lpstr>
      <vt:lpstr>SU_sre</vt:lpstr>
      <vt:lpstr>Usage</vt:lpstr>
      <vt:lpstr>TITREV!Zone_d_impression</vt:lpstr>
      <vt:lpstr>zone1</vt:lpstr>
      <vt:lpstr>θef</vt:lpstr>
      <vt:lpstr>θuw</vt:lpstr>
      <vt:lpstr>ρw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sofiane batnini</dc:creator>
  <cp:lastModifiedBy>Roben van Bree</cp:lastModifiedBy>
  <cp:lastPrinted>2021-04-15T09:27:54Z</cp:lastPrinted>
  <dcterms:created xsi:type="dcterms:W3CDTF">2011-12-17T10:03:39Z</dcterms:created>
  <dcterms:modified xsi:type="dcterms:W3CDTF">2021-07-20T09:49:25Z</dcterms:modified>
</cp:coreProperties>
</file>